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HH\Projecten\04_Projecten in uitvoering\interreg Levende bodem\Geldelijke waardering\bodembox\"/>
    </mc:Choice>
  </mc:AlternateContent>
  <bookViews>
    <workbookView xWindow="0" yWindow="0" windowWidth="15360" windowHeight="8148"/>
  </bookViews>
  <sheets>
    <sheet name="toolbox" sheetId="3" r:id="rId1"/>
    <sheet name="tabellen" sheetId="2" r:id="rId2"/>
  </sheets>
  <definedNames>
    <definedName name="_xlnm._FilterDatabase" localSheetId="0" hidden="1">toolbox!$A$5:$AH$5</definedName>
    <definedName name="_Ref462842779" localSheetId="1">tabellen!#REF!</definedName>
    <definedName name="_xlcn.WorksheetConnection_rekenbladnieuwN3N61" hidden="1">toolbox!$U$7:$U$10</definedName>
    <definedName name="_xlnm.Print_Area" localSheetId="0">toolbox!$A$1:$Q$20</definedName>
    <definedName name="bodembewerking__machine">tabellen!$BB$9:$BP$59</definedName>
    <definedName name="C_arm_organisch_materiaal">tabellen!$AN$9:$AZ$22</definedName>
    <definedName name="C_rijk_organisch_materiaal">tabellen!$Z$9:$AL$23</definedName>
    <definedName name="groenbedekker">tabellen!$M$9:$X$22</definedName>
    <definedName name="groenbedekkers">tabellen!$M$9:$X$22</definedName>
    <definedName name="grondsoort" localSheetId="1">tabellen!$BR$10:$BR$13</definedName>
    <definedName name="grondsoort">toolbox!#REF!</definedName>
    <definedName name="kalksoorten">Tabel2[#All]</definedName>
    <definedName name="teelt">tabellen!$G$9:$K$77</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Bereik" name="Bereik" connection="WorksheetConnection_rekenblad nieuw!$N$3:$N$6"/>
        </x15:modelTables>
      </x15:dataModel>
    </ext>
  </extLst>
</workbook>
</file>

<file path=xl/calcChain.xml><?xml version="1.0" encoding="utf-8"?>
<calcChain xmlns="http://schemas.openxmlformats.org/spreadsheetml/2006/main">
  <c r="T12" i="3" l="1"/>
  <c r="C13" i="3"/>
  <c r="D8" i="3"/>
  <c r="G7" i="3"/>
  <c r="E11" i="3"/>
  <c r="AC13" i="2" l="1"/>
  <c r="G6" i="3" l="1"/>
  <c r="E6" i="3"/>
  <c r="D6" i="3"/>
  <c r="G17" i="3"/>
  <c r="F17" i="3"/>
  <c r="E10" i="3" l="1"/>
  <c r="D10" i="3"/>
  <c r="D9" i="3"/>
  <c r="U11" i="2"/>
  <c r="U12" i="2"/>
  <c r="U19" i="2"/>
  <c r="U20" i="2"/>
  <c r="U22" i="2"/>
  <c r="AS11" i="2" l="1"/>
  <c r="AS12" i="2"/>
  <c r="AS13" i="2"/>
  <c r="AS14" i="2"/>
  <c r="AS15" i="2"/>
  <c r="AS10" i="2"/>
  <c r="U7" i="3"/>
  <c r="L7" i="3" s="1"/>
  <c r="C7" i="3" s="1"/>
  <c r="G15" i="3"/>
  <c r="E14" i="3"/>
  <c r="W9" i="3" l="1"/>
  <c r="U9" i="3" s="1"/>
  <c r="W7" i="3"/>
  <c r="F16" i="3" l="1"/>
  <c r="F15" i="3"/>
  <c r="AE15" i="3" l="1"/>
  <c r="BJ16" i="2"/>
  <c r="BL16" i="2" s="1"/>
  <c r="AD15" i="3" s="1"/>
  <c r="BF16" i="2"/>
  <c r="BH16" i="2" s="1"/>
  <c r="BP16" i="2" s="1"/>
  <c r="L9" i="3"/>
  <c r="AB13" i="2"/>
  <c r="AB14" i="2"/>
  <c r="AB16" i="2"/>
  <c r="AB18" i="2"/>
  <c r="AB15" i="2"/>
  <c r="AB19" i="2"/>
  <c r="AB17" i="2"/>
  <c r="AB10" i="2"/>
  <c r="AB12" i="2"/>
  <c r="AB11" i="2"/>
  <c r="AP13" i="2"/>
  <c r="AP10" i="2"/>
  <c r="AP12" i="2"/>
  <c r="AP11" i="2"/>
  <c r="AP15" i="2"/>
  <c r="AP14" i="2"/>
  <c r="U8" i="3"/>
  <c r="AC15" i="3" l="1"/>
  <c r="AF15" i="3" s="1"/>
  <c r="K15" i="3" s="1"/>
  <c r="L8" i="3"/>
  <c r="AG15" i="3" l="1"/>
  <c r="F7" i="3"/>
  <c r="E7" i="3"/>
  <c r="W10" i="3" l="1"/>
  <c r="U10" i="3" s="1"/>
  <c r="L10" i="3" s="1"/>
  <c r="J10" i="3"/>
  <c r="J9" i="3"/>
  <c r="Z6" i="3"/>
  <c r="Y6" i="3"/>
  <c r="W6" i="3"/>
  <c r="AD10" i="3" l="1"/>
  <c r="AC10" i="3"/>
  <c r="AD9" i="3"/>
  <c r="AC9" i="3"/>
  <c r="BO15" i="2"/>
  <c r="AE16" i="3" s="1"/>
  <c r="BL15" i="2"/>
  <c r="AD16" i="3" s="1"/>
  <c r="BC15" i="2"/>
  <c r="BF15" i="2" s="1"/>
  <c r="BH15" i="2" s="1"/>
  <c r="AC16" i="3" s="1"/>
  <c r="X7" i="3"/>
  <c r="AF16" i="3" l="1"/>
  <c r="G11" i="3"/>
  <c r="BC30" i="2"/>
  <c r="BN26" i="2" s="1"/>
  <c r="K16" i="3" l="1"/>
  <c r="AG16" i="3"/>
  <c r="Z7" i="3"/>
  <c r="AB7" i="3" l="1"/>
  <c r="AG7" i="3" s="1"/>
  <c r="AF6" i="3"/>
  <c r="AY1" i="2" l="1"/>
  <c r="AK1" i="2"/>
  <c r="AJ1" i="2"/>
  <c r="AX1" i="2"/>
  <c r="AT3" i="2" s="1"/>
  <c r="AF8" i="2" l="1"/>
  <c r="D13" i="2" l="1"/>
  <c r="AY10" i="2" l="1"/>
  <c r="AX10" i="2"/>
  <c r="AY13" i="2"/>
  <c r="AX13" i="2"/>
  <c r="AY12" i="2"/>
  <c r="AX12" i="2"/>
  <c r="AY15" i="2"/>
  <c r="AX15" i="2"/>
  <c r="AY14" i="2"/>
  <c r="AX14" i="2"/>
  <c r="AY11" i="2"/>
  <c r="AX11" i="2"/>
  <c r="AK13" i="2"/>
  <c r="AJ13" i="2"/>
  <c r="AK14" i="2"/>
  <c r="AJ14" i="2"/>
  <c r="AK16" i="2"/>
  <c r="AJ16" i="2"/>
  <c r="AK18" i="2"/>
  <c r="AJ18" i="2"/>
  <c r="AK15" i="2"/>
  <c r="AJ15" i="2"/>
  <c r="AC15" i="2"/>
  <c r="AK19" i="2"/>
  <c r="AJ19" i="2"/>
  <c r="AK17" i="2"/>
  <c r="AJ17" i="2"/>
  <c r="AK10" i="2"/>
  <c r="AJ10" i="2"/>
  <c r="AK12" i="2"/>
  <c r="AJ12" i="2"/>
  <c r="AK11" i="2"/>
  <c r="AJ11" i="2"/>
  <c r="D10" i="2"/>
  <c r="D11" i="2"/>
  <c r="D12" i="2"/>
  <c r="AR12" i="2" l="1"/>
  <c r="AD15" i="2"/>
  <c r="AD16" i="2"/>
  <c r="AD18" i="2"/>
  <c r="AR14" i="2"/>
  <c r="AD19" i="2"/>
  <c r="AD10" i="2"/>
  <c r="AD12" i="2"/>
  <c r="AR11" i="2"/>
  <c r="AR15" i="2"/>
  <c r="AR10" i="2"/>
  <c r="AD11" i="2"/>
  <c r="AD14" i="2"/>
  <c r="AR13" i="2"/>
  <c r="AD17" i="2"/>
  <c r="BO13" i="2"/>
  <c r="BO14" i="2"/>
  <c r="H14" i="3"/>
  <c r="BL14" i="2"/>
  <c r="BF14" i="2"/>
  <c r="BH14" i="2" s="1"/>
  <c r="F14" i="3"/>
  <c r="AE14" i="3" l="1"/>
  <c r="AC14" i="3"/>
  <c r="AD14" i="3"/>
  <c r="AR25" i="2"/>
  <c r="AR26" i="2" s="1"/>
  <c r="AR27" i="2" s="1"/>
  <c r="H13" i="3"/>
  <c r="F13" i="3"/>
  <c r="E9" i="3"/>
  <c r="E8" i="3"/>
  <c r="C8" i="3" l="1"/>
  <c r="AF14" i="3"/>
  <c r="AG14" i="3" s="1"/>
  <c r="K14" i="3" l="1"/>
  <c r="U6" i="3"/>
  <c r="S6" i="3" s="1"/>
  <c r="AB6" i="3" l="1"/>
  <c r="AG6" i="3" s="1"/>
  <c r="K6" i="3" s="1"/>
  <c r="C6" i="3"/>
  <c r="Z9" i="3"/>
  <c r="C9" i="3" l="1"/>
  <c r="U12" i="3"/>
  <c r="L12" i="3" s="1"/>
  <c r="AB10" i="3"/>
  <c r="C10" i="3"/>
  <c r="K7" i="3"/>
  <c r="D12" i="3" l="1"/>
  <c r="C12" i="3"/>
  <c r="AG10" i="3"/>
  <c r="K10" i="3" s="1"/>
  <c r="BL13" i="2" l="1"/>
  <c r="BD13" i="2"/>
  <c r="BF13" i="2" s="1"/>
  <c r="BH13" i="2" s="1"/>
  <c r="BO12" i="2"/>
  <c r="BL12" i="2"/>
  <c r="BD12" i="2"/>
  <c r="BF12" i="2" s="1"/>
  <c r="BH12" i="2" s="1"/>
  <c r="BO11" i="2"/>
  <c r="AE13" i="3" s="1"/>
  <c r="BL11" i="2"/>
  <c r="AD13" i="3" s="1"/>
  <c r="BD11" i="2"/>
  <c r="BF11" i="2" s="1"/>
  <c r="BH11" i="2" s="1"/>
  <c r="AC13" i="3" l="1"/>
  <c r="AF13" i="3" s="1"/>
  <c r="K13" i="3" l="1"/>
  <c r="AG13" i="3"/>
  <c r="AB9" i="3" l="1"/>
  <c r="AG9" i="3" s="1"/>
  <c r="K9" i="3" s="1"/>
  <c r="C11" i="3" l="1"/>
  <c r="AG12" i="3"/>
  <c r="K12" i="3"/>
  <c r="K20" i="3" s="1"/>
</calcChain>
</file>

<file path=xl/comments1.xml><?xml version="1.0" encoding="utf-8"?>
<comments xmlns="http://schemas.openxmlformats.org/spreadsheetml/2006/main">
  <authors>
    <author>SCHELLEKENS An</author>
  </authors>
  <commentList>
    <comment ref="BP11" authorId="0" shapeId="0">
      <text>
        <r>
          <rPr>
            <b/>
            <sz val="9"/>
            <color indexed="81"/>
            <rFont val="Tahoma"/>
            <family val="2"/>
          </rPr>
          <t>SCHELLEKENS An:</t>
        </r>
        <r>
          <rPr>
            <sz val="9"/>
            <color indexed="81"/>
            <rFont val="Tahoma"/>
            <family val="2"/>
          </rPr>
          <t xml:space="preserve">
gemiddelde prijzen vl - nl zie mail cees</t>
        </r>
      </text>
    </comment>
    <comment ref="BO14" authorId="0" shapeId="0">
      <text>
        <r>
          <rPr>
            <b/>
            <sz val="9"/>
            <color indexed="81"/>
            <rFont val="Tahoma"/>
            <family val="2"/>
          </rPr>
          <t>SCHELLEKENS An:</t>
        </r>
        <r>
          <rPr>
            <sz val="9"/>
            <color indexed="81"/>
            <rFont val="Tahoma"/>
            <family val="2"/>
          </rPr>
          <t xml:space="preserve">
in onderhoud</t>
        </r>
      </text>
    </comment>
    <comment ref="BL15" authorId="0" shapeId="0">
      <text>
        <r>
          <rPr>
            <b/>
            <sz val="9"/>
            <color indexed="81"/>
            <rFont val="Tahoma"/>
            <family val="2"/>
          </rPr>
          <t>SCHELLEKENS An:</t>
        </r>
        <r>
          <rPr>
            <sz val="9"/>
            <color indexed="81"/>
            <rFont val="Tahoma"/>
            <family val="2"/>
          </rPr>
          <t xml:space="preserve">
is er geen besparing ?</t>
        </r>
      </text>
    </comment>
    <comment ref="BN15" authorId="0" shapeId="0">
      <text>
        <r>
          <rPr>
            <b/>
            <sz val="9"/>
            <color indexed="81"/>
            <rFont val="Tahoma"/>
            <family val="2"/>
          </rPr>
          <t>SCHELLEKENS An:</t>
        </r>
        <r>
          <rPr>
            <sz val="9"/>
            <color indexed="81"/>
            <rFont val="Tahoma"/>
            <family val="2"/>
          </rPr>
          <t xml:space="preserve">
geen extra manuren tov geen gps en geen rijpaden</t>
        </r>
      </text>
    </comment>
  </commentList>
</comments>
</file>

<file path=xl/connections.xml><?xml version="1.0" encoding="utf-8"?>
<connections xmlns="http://schemas.openxmlformats.org/spreadsheetml/2006/main">
  <connection id="1" keepAlive="1" name="ThisWorkbookDataModel" description="Gegevens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rekenblad nieuw!$N$3:$N$6" type="102" refreshedVersion="6" minRefreshableVersion="5">
    <extLst>
      <ext xmlns:x15="http://schemas.microsoft.com/office/spreadsheetml/2010/11/main" uri="{DE250136-89BD-433C-8126-D09CA5730AF9}">
        <x15:connection id="Bereik">
          <x15:rangePr sourceName="_xlcn.WorksheetConnection_rekenbladnieuwN3N61"/>
        </x15:connection>
      </ext>
    </extLst>
  </connection>
</connections>
</file>

<file path=xl/sharedStrings.xml><?xml version="1.0" encoding="utf-8"?>
<sst xmlns="http://schemas.openxmlformats.org/spreadsheetml/2006/main" count="399" uniqueCount="279">
  <si>
    <t>pH</t>
  </si>
  <si>
    <t>kalksoort</t>
  </si>
  <si>
    <t>kostprijs/ton</t>
  </si>
  <si>
    <t>bron</t>
  </si>
  <si>
    <t>EUR/ha</t>
  </si>
  <si>
    <t>aanvoer totale organische stof (kg/ha)</t>
  </si>
  <si>
    <t>humificatiecoëfficiënt</t>
  </si>
  <si>
    <t>aanvoer effectieve organische stof (kg C/ha)</t>
  </si>
  <si>
    <t>0.30</t>
  </si>
  <si>
    <t>engels raaigras</t>
  </si>
  <si>
    <t>italiaans raaigras</t>
  </si>
  <si>
    <t>teelt</t>
  </si>
  <si>
    <t>aardappelen</t>
  </si>
  <si>
    <t>0.23</t>
  </si>
  <si>
    <t xml:space="preserve">asperge 1 jaar </t>
  </si>
  <si>
    <t>0.29</t>
  </si>
  <si>
    <t xml:space="preserve">bloemkolen   </t>
  </si>
  <si>
    <t>0.25</t>
  </si>
  <si>
    <t xml:space="preserve">broccoli   </t>
  </si>
  <si>
    <t xml:space="preserve">bruine bonen  </t>
  </si>
  <si>
    <t xml:space="preserve">cichorei   </t>
  </si>
  <si>
    <t xml:space="preserve">erwten, droog geoogst </t>
  </si>
  <si>
    <t>0.24</t>
  </si>
  <si>
    <t xml:space="preserve">graszaad   </t>
  </si>
  <si>
    <t>haver met stro afgevoerd</t>
  </si>
  <si>
    <t>0.31</t>
  </si>
  <si>
    <t>haver met stro ingewerkt</t>
  </si>
  <si>
    <t xml:space="preserve">knolselder   </t>
  </si>
  <si>
    <t>0.20</t>
  </si>
  <si>
    <t xml:space="preserve">Koolzaad, winterkoolzaad  </t>
  </si>
  <si>
    <t>0.27</t>
  </si>
  <si>
    <t xml:space="preserve">koolzaad,zomerkoolzaad   </t>
  </si>
  <si>
    <t>korrelmais</t>
  </si>
  <si>
    <t xml:space="preserve">kropsla   </t>
  </si>
  <si>
    <t>luzerne</t>
  </si>
  <si>
    <t>0.34</t>
  </si>
  <si>
    <t xml:space="preserve">maïs, snijmaïs  </t>
  </si>
  <si>
    <t xml:space="preserve">prei   </t>
  </si>
  <si>
    <t xml:space="preserve">raapkolen   </t>
  </si>
  <si>
    <t xml:space="preserve">rode kolen  </t>
  </si>
  <si>
    <t>rogge met stro afgevoerd</t>
  </si>
  <si>
    <t>rogge met stro ingewerkt</t>
  </si>
  <si>
    <t xml:space="preserve">savooikolen   </t>
  </si>
  <si>
    <t>spelt met stro afgevoerd</t>
  </si>
  <si>
    <t>spelt met stro ingewerkt</t>
  </si>
  <si>
    <t xml:space="preserve">spruitkolen   </t>
  </si>
  <si>
    <t xml:space="preserve">stamslabonen   </t>
  </si>
  <si>
    <t xml:space="preserve">stro   </t>
  </si>
  <si>
    <t xml:space="preserve">suikerbieten met blad en kop ingewerkt  </t>
  </si>
  <si>
    <t>0.22</t>
  </si>
  <si>
    <t>0.26</t>
  </si>
  <si>
    <t>triticale met stro afgevoerd</t>
  </si>
  <si>
    <t>triticale met stro ingewerkt</t>
  </si>
  <si>
    <t xml:space="preserve">veldbonen   </t>
  </si>
  <si>
    <t xml:space="preserve">vlas, vezelvlas  </t>
  </si>
  <si>
    <t>0.33</t>
  </si>
  <si>
    <t xml:space="preserve">vlas, zaad  </t>
  </si>
  <si>
    <t>0.35</t>
  </si>
  <si>
    <t xml:space="preserve">voederbieten met blad en kop ingewerkt   </t>
  </si>
  <si>
    <t>wintergerst met stro afgevoerd</t>
  </si>
  <si>
    <t>wintergerst met stro ingewerkt</t>
  </si>
  <si>
    <t>wintertarwe met stro afgevoerd</t>
  </si>
  <si>
    <t>wintertarwe met stro ingewerkt</t>
  </si>
  <si>
    <t xml:space="preserve">witloofwortels   </t>
  </si>
  <si>
    <t xml:space="preserve">witte kolen  </t>
  </si>
  <si>
    <t xml:space="preserve">wortelen   </t>
  </si>
  <si>
    <t>zomergerst met stro afgevoerd</t>
  </si>
  <si>
    <t>zomergerst met stro ingewerkt</t>
  </si>
  <si>
    <t>zomertarwe met stro afgevoerd</t>
  </si>
  <si>
    <t>zomertarwe met stro ingewerkt</t>
  </si>
  <si>
    <t>https://www.inagro.be/DNN_DropZone/Publicaties/539/MTR_CodeVanGoedePraktijkBodembescherming_web.pdf</t>
  </si>
  <si>
    <t>gele mosterd</t>
  </si>
  <si>
    <t>bron kostprijs</t>
  </si>
  <si>
    <t>AVEVE, HH</t>
  </si>
  <si>
    <t>houtsnippers</t>
  </si>
  <si>
    <t>GFT compost</t>
  </si>
  <si>
    <t>groencompost</t>
  </si>
  <si>
    <t>aanvoer effectieve organische stof (kg EOC/ton)</t>
  </si>
  <si>
    <t>ton/ha</t>
  </si>
  <si>
    <t>prijs/ton</t>
  </si>
  <si>
    <t>N</t>
  </si>
  <si>
    <t>P</t>
  </si>
  <si>
    <t>Mestkalvergier</t>
  </si>
  <si>
    <t>Zeugenmengmest</t>
  </si>
  <si>
    <t>Mestvarkensmengmest</t>
  </si>
  <si>
    <t>Mestvarkensmengmest brijbakken</t>
  </si>
  <si>
    <t>K</t>
  </si>
  <si>
    <t>C-arm organisch materiaal</t>
  </si>
  <si>
    <t>max ton/ha N</t>
  </si>
  <si>
    <t>max ton/ha P</t>
  </si>
  <si>
    <t>bodembewerking (machine)</t>
  </si>
  <si>
    <t>aankoopprijs (EUR)</t>
  </si>
  <si>
    <t>restwaarde (EUR)</t>
  </si>
  <si>
    <t>afschrijving (EUR/jaar)</t>
  </si>
  <si>
    <t>afschrijving (EUR/ha/jaar)</t>
  </si>
  <si>
    <t>onderhoud (EUR/ha)</t>
  </si>
  <si>
    <t>brandstofverbruik (L/ha)</t>
  </si>
  <si>
    <t>brandstofprijs (EUR/L)</t>
  </si>
  <si>
    <t>brandstofkost (EUR/ha)</t>
  </si>
  <si>
    <t>manuren (EUR/u)</t>
  </si>
  <si>
    <t>manuren (u/ha)</t>
  </si>
  <si>
    <t>kosten manuren (EUR/ha)</t>
  </si>
  <si>
    <t>diepwoeler 4 tanden</t>
  </si>
  <si>
    <t>bron : Mecacost ( zie werkbladen Sander, PIBO)</t>
  </si>
  <si>
    <t>geen bewerking</t>
  </si>
  <si>
    <t>zware cultivator 4m met zaaibak, hydraulisch inklapbaar</t>
  </si>
  <si>
    <t>ploeg 4-schaar</t>
  </si>
  <si>
    <t>bladrammenas</t>
  </si>
  <si>
    <t>gras na maïs</t>
  </si>
  <si>
    <t>opp per jaar</t>
  </si>
  <si>
    <t>gebruiksduur (jaar)</t>
  </si>
  <si>
    <t>http://www.pcsierteelt.be/hosting/pcs/pcs_site.nsf/0/ada5cb581ac1068fc1257b9f002a708f/$FILE/Thema%202%20Organische%20bemesting%20voor%20sierteelt.pdf</t>
  </si>
  <si>
    <t>Bron houtsnippers</t>
  </si>
  <si>
    <t>https://www.vlaamsbrabant.be/binaries/OS6_Koester_de_Koolstof_EcoKwadraat_23_tcm5-124003.pdf</t>
  </si>
  <si>
    <t>organische koolstof</t>
  </si>
  <si>
    <t>bodemleven, wormen</t>
  </si>
  <si>
    <t>TOTALE KOST (EUR/ha)</t>
  </si>
  <si>
    <t>kolom niet verwijderen</t>
  </si>
  <si>
    <t>zbw/100kg</t>
  </si>
  <si>
    <t>kostprijs ct/zbw</t>
  </si>
  <si>
    <t>Bekalken</t>
  </si>
  <si>
    <t>per ha/keer</t>
  </si>
  <si>
    <t>PIBO variabel loonwerk</t>
  </si>
  <si>
    <t>zbw/ 100kg</t>
  </si>
  <si>
    <t>kg EOS /ha</t>
  </si>
  <si>
    <t>kg zaai-zaad/ha</t>
  </si>
  <si>
    <t>Groenbemester zaaien in comb met culter</t>
  </si>
  <si>
    <t>SAMENVATTING ORGANISCHE C</t>
  </si>
  <si>
    <t>machine-kost (EUR/ha)</t>
  </si>
  <si>
    <t>loonkost (EUR/ha)</t>
  </si>
  <si>
    <t>BEWER-KINGS-KOST cfr loonwerk (EUR/ha)</t>
  </si>
  <si>
    <t xml:space="preserve">SAMENVATTING </t>
  </si>
  <si>
    <t>waardering (kostprijs) van de gekozen maatregelen</t>
  </si>
  <si>
    <t>verdichting, plasvorming, bewortelingsdiepte</t>
  </si>
  <si>
    <t>EUR /100kg</t>
  </si>
  <si>
    <t>EUR /ton</t>
  </si>
  <si>
    <t>toedienen mengmest op bouwland incl onderwerken</t>
  </si>
  <si>
    <t>prijs/ton incl uitrijden</t>
  </si>
  <si>
    <t>prijs per ton 'mest laten komen'</t>
  </si>
  <si>
    <t>incl uitrijden</t>
  </si>
  <si>
    <t>N/ha</t>
  </si>
  <si>
    <t>N/m3</t>
  </si>
  <si>
    <t>EUR/m3</t>
  </si>
  <si>
    <t>drainage</t>
  </si>
  <si>
    <t>PRIJS/HA/jaar</t>
  </si>
  <si>
    <t>drainage aankoop werkgroep, onderhoud gegokt</t>
  </si>
  <si>
    <t>m3/ha</t>
  </si>
  <si>
    <t>Bron: zbw - AVEVE</t>
  </si>
  <si>
    <t>Bron zbw compost: https://www.inagro.be/DNN_DropZone/Publicaties/539/MTR_CodeVanGoedePraktijkBodembescherming_web.pdf</t>
  </si>
  <si>
    <t>Bron: zbw - http://www.pcsierteelt.be/hosting/pcs/pcs_site.nsf/0/D2F165F273DF5729C1257FE600403177/$file/7%20-%20Het%20belang%20van%20de%20bodem-pH%20en%20hoe%20deze%20te%20verbeteren%20-%20SM.pdf</t>
  </si>
  <si>
    <t xml:space="preserve">klaver, rode klaver   </t>
  </si>
  <si>
    <t xml:space="preserve">gras, tijdelijk grasland  </t>
  </si>
  <si>
    <t xml:space="preserve">klaver, witte klaver  </t>
  </si>
  <si>
    <t xml:space="preserve">bieten  volledig afgevoerd (suiker, - voeder) </t>
  </si>
  <si>
    <t>Japanse haver</t>
  </si>
  <si>
    <t>Snijrogge</t>
  </si>
  <si>
    <t>Snijrogge, gemaaid en afgevoerd in voorjaar</t>
  </si>
  <si>
    <t>Gras, snede afgevoerd in voorjaar</t>
  </si>
  <si>
    <t>Bron: humificatiecoëfficiënt + luzerne, stro, graszaad</t>
  </si>
  <si>
    <t>Bron: (alle andere gewassen)</t>
  </si>
  <si>
    <t>https://www.vlaanderen.be/nl/publicaties/detail/organische-stof-in-de-bodem</t>
  </si>
  <si>
    <t>Bron: humificatiecoëfficiënt</t>
  </si>
  <si>
    <t>Bron: gras na mais???</t>
  </si>
  <si>
    <t>Champost</t>
  </si>
  <si>
    <t>runderstalmest</t>
  </si>
  <si>
    <t>Varkensstalmest</t>
  </si>
  <si>
    <t>Leghennenmest (droog)</t>
  </si>
  <si>
    <t>Slachtkuikenmest</t>
  </si>
  <si>
    <t>Paardenmest</t>
  </si>
  <si>
    <t>Konijnenmest</t>
  </si>
  <si>
    <t xml:space="preserve">Bron: https://www.inagro.be/DNN_DropZone/Publicaties/539/MTR_CodeVanGoedePraktijkBodembescherming_web.pdf </t>
  </si>
  <si>
    <t>Bron compost, GFT, varkensstalmest en runderstalmest:</t>
  </si>
  <si>
    <t>runderdrijfmest</t>
  </si>
  <si>
    <t>kippendrijfmest</t>
  </si>
  <si>
    <t>Bron: https://www.inagro.be/DNN_DropZone/Publicaties/539/MTR_CodeVanGoedePraktijkBodembescherming_web.pdf</t>
  </si>
  <si>
    <t>Bron: schuimaarde lv.vlaanderen-praktijkgids bemesting meststoffen groenbedekkers</t>
  </si>
  <si>
    <t>De bietplanter 09/2014</t>
  </si>
  <si>
    <t>www.viatsol.nl (11/2010)</t>
  </si>
  <si>
    <t>groenbedekker</t>
  </si>
  <si>
    <t>jaarlijkse afbraak</t>
  </si>
  <si>
    <t>grondsoort</t>
  </si>
  <si>
    <t>klei</t>
  </si>
  <si>
    <t>leem</t>
  </si>
  <si>
    <t>zand</t>
  </si>
  <si>
    <t>zandleem</t>
  </si>
  <si>
    <t>EUR/ha mest laten komen, uitgereden</t>
  </si>
  <si>
    <t>vergoeding mest (EUR/m3):</t>
  </si>
  <si>
    <t>max N tot (kg/ha):</t>
  </si>
  <si>
    <t>aangepakte bodemproblemen</t>
  </si>
  <si>
    <t>aanleg drainage afgeschreven over 20 jaar</t>
  </si>
  <si>
    <t>Pas aan aan je bedrijfssituatie :</t>
  </si>
  <si>
    <t>kilveren</t>
  </si>
  <si>
    <t>kostprijs loonwerk Hooibeekhoeve 2017</t>
  </si>
  <si>
    <t>grootte perceel beemden1,2,3</t>
  </si>
  <si>
    <t>3a</t>
  </si>
  <si>
    <t>3b</t>
  </si>
  <si>
    <t>verhelpen bodemverdichting?</t>
  </si>
  <si>
    <t>ja</t>
  </si>
  <si>
    <t>nee</t>
  </si>
  <si>
    <t>zomerhaver</t>
  </si>
  <si>
    <t>alexandrijnse klaver</t>
  </si>
  <si>
    <t>facelia</t>
  </si>
  <si>
    <t>zaadkost/ha gemiddeld</t>
  </si>
  <si>
    <t>Inagro gem 2009,2010,2011</t>
  </si>
  <si>
    <t xml:space="preserve">prijs EUR/kg zaaizaad </t>
  </si>
  <si>
    <t>Prijs RTK-GPS: rond de €15.000</t>
  </si>
  <si>
    <t>Prijs ombouw trekker naar vaste rijpaden: €5.000 - €15.000 (bv een trekker om 2.2m op smalle banden zetten is ook al rijpad en heeft enkel als kost nieuwe velgen, terwijl de kostelijkste deze zijn die omgebouwd worden naar 3m of meer)</t>
  </si>
  <si>
    <t>bron inagro</t>
  </si>
  <si>
    <t>GPS+rijpaden</t>
  </si>
  <si>
    <t>LCV kostprijs voedergewassen</t>
  </si>
  <si>
    <t>EUR/ton</t>
  </si>
  <si>
    <t>vocht. poederkalk</t>
  </si>
  <si>
    <t>borgakal</t>
  </si>
  <si>
    <t>magkal</t>
  </si>
  <si>
    <t>schuimaarde</t>
  </si>
  <si>
    <t>limietwaarde organische koolstof (%C)</t>
  </si>
  <si>
    <t>&lt;=1</t>
  </si>
  <si>
    <t>jaarlijkse afbraak organische koolstof kg C/ha</t>
  </si>
  <si>
    <t>min jaarlijkse afbraak effectieve organische koolstof in kg EOC/ha/jaar</t>
  </si>
  <si>
    <t>&lt;=1,2</t>
  </si>
  <si>
    <t>&lt;=0,9</t>
  </si>
  <si>
    <t>Tabel 1: Vlaamse limietwaarden voor het organische koolstofgehalte in de bodem, jaarlijkse afbraak van organische koolstof in de bodem voor bodems rond de limietwaarde, en vereiste minimale jaarlijkse aanbreng van effectieve organische koolstof in de 0-23 bodemlaag (Code van Goede Praktijk Bodembescherming-2009)</t>
  </si>
  <si>
    <t>zaaiz kg/ha</t>
  </si>
  <si>
    <t>ton of m3/ha</t>
  </si>
  <si>
    <t>drukwisselsysteem</t>
  </si>
  <si>
    <t>aanvoer totale organische koolstof (kgC/ton vers materiaal)</t>
  </si>
  <si>
    <t>C/N</t>
  </si>
  <si>
    <t>?</t>
  </si>
  <si>
    <t>C% bodem</t>
  </si>
  <si>
    <t>bouwvoordiepte m:</t>
  </si>
  <si>
    <t>soortelijk gew kg/m3</t>
  </si>
  <si>
    <t>humificatiecoëff.</t>
  </si>
  <si>
    <t>Aangenomen parameters bij jaarlijkse afbraak EOC:</t>
  </si>
  <si>
    <t>diepe grondbewerking bij opbreken storende laag</t>
  </si>
  <si>
    <t>PIBO, AVEVE, okt 18</t>
  </si>
  <si>
    <t>Kies uit onderstaande keuzelijsten</t>
  </si>
  <si>
    <t>Pas ev. hoeveelheden aan</t>
  </si>
  <si>
    <r>
      <rPr>
        <b/>
        <sz val="9"/>
        <color rgb="FF7030A0"/>
        <rFont val="Calibri Light"/>
        <family val="2"/>
        <scheme val="major"/>
      </rPr>
      <t>Wat doe je om je bodemkwaliteit te verbeteren?</t>
    </r>
    <r>
      <rPr>
        <sz val="9"/>
        <color theme="1"/>
        <rFont val="Calibri Light"/>
        <family val="2"/>
        <scheme val="major"/>
      </rPr>
      <t xml:space="preserve"> Vink aan hieronder.</t>
    </r>
  </si>
  <si>
    <t>Omschrijving van de remedie</t>
  </si>
  <si>
    <t>Nutrientenrijk materiaal</t>
  </si>
  <si>
    <t>wiellast verlagen</t>
  </si>
  <si>
    <t xml:space="preserve">Bandenspanning beperken tot 0,8 – 1 bar </t>
  </si>
  <si>
    <r>
      <t>·</t>
    </r>
    <r>
      <rPr>
        <sz val="7"/>
        <color theme="1"/>
        <rFont val="Times New Roman"/>
        <family val="1"/>
      </rPr>
      <t xml:space="preserve">        </t>
    </r>
    <r>
      <rPr>
        <sz val="11"/>
        <color theme="1"/>
        <rFont val="Calibri"/>
        <family val="2"/>
      </rPr>
      <t>(na)teelten:</t>
    </r>
  </si>
  <si>
    <r>
      <t>o</t>
    </r>
    <r>
      <rPr>
        <sz val="7"/>
        <color theme="1"/>
        <rFont val="Times New Roman"/>
        <family val="1"/>
      </rPr>
      <t xml:space="preserve">   </t>
    </r>
    <r>
      <rPr>
        <sz val="11"/>
        <color theme="1"/>
        <rFont val="Calibri"/>
        <family val="2"/>
      </rPr>
      <t>Brassica’s</t>
    </r>
  </si>
  <si>
    <r>
      <t>o</t>
    </r>
    <r>
      <rPr>
        <sz val="7"/>
        <color theme="1"/>
        <rFont val="Times New Roman"/>
        <family val="1"/>
      </rPr>
      <t xml:space="preserve">   </t>
    </r>
    <r>
      <rPr>
        <sz val="11"/>
        <color theme="1"/>
        <rFont val="Calibri"/>
        <family val="2"/>
      </rPr>
      <t>Luzerne</t>
    </r>
  </si>
  <si>
    <r>
      <t>o</t>
    </r>
    <r>
      <rPr>
        <sz val="7"/>
        <color theme="1"/>
        <rFont val="Times New Roman"/>
        <family val="1"/>
      </rPr>
      <t xml:space="preserve">   </t>
    </r>
    <r>
      <rPr>
        <sz val="11"/>
        <color theme="1"/>
        <rFont val="Calibri"/>
        <family val="2"/>
      </rPr>
      <t>Rogge (na én voor maïs)</t>
    </r>
  </si>
  <si>
    <r>
      <t>o</t>
    </r>
    <r>
      <rPr>
        <sz val="7"/>
        <color theme="1"/>
        <rFont val="Times New Roman"/>
        <family val="1"/>
      </rPr>
      <t xml:space="preserve">   </t>
    </r>
    <r>
      <rPr>
        <sz val="11"/>
        <color theme="1"/>
        <rFont val="Calibri"/>
        <family val="2"/>
      </rPr>
      <t>Rietzwenkgras</t>
    </r>
  </si>
  <si>
    <r>
      <t>o</t>
    </r>
    <r>
      <rPr>
        <sz val="7"/>
        <color theme="1"/>
        <rFont val="Times New Roman"/>
        <family val="1"/>
      </rPr>
      <t xml:space="preserve">   </t>
    </r>
    <r>
      <rPr>
        <sz val="11"/>
        <color theme="1"/>
        <rFont val="Calibri"/>
        <family val="2"/>
      </rPr>
      <t>Sorghum</t>
    </r>
  </si>
  <si>
    <r>
      <t>·</t>
    </r>
    <r>
      <rPr>
        <sz val="7"/>
        <color theme="1"/>
        <rFont val="Times New Roman"/>
        <family val="1"/>
      </rPr>
      <t xml:space="preserve">        </t>
    </r>
    <r>
      <rPr>
        <sz val="11"/>
        <color theme="1"/>
        <rFont val="Calibri"/>
        <family val="2"/>
      </rPr>
      <t>Vanggewassen:</t>
    </r>
  </si>
  <si>
    <r>
      <t>o</t>
    </r>
    <r>
      <rPr>
        <sz val="7"/>
        <color theme="1"/>
        <rFont val="Times New Roman"/>
        <family val="1"/>
      </rPr>
      <t xml:space="preserve">   </t>
    </r>
    <r>
      <rPr>
        <sz val="11"/>
        <color theme="1"/>
        <rFont val="Calibri"/>
        <family val="2"/>
      </rPr>
      <t>Facelia</t>
    </r>
  </si>
  <si>
    <r>
      <t>o</t>
    </r>
    <r>
      <rPr>
        <sz val="7"/>
        <color theme="1"/>
        <rFont val="Times New Roman"/>
        <family val="1"/>
      </rPr>
      <t xml:space="preserve">   </t>
    </r>
    <r>
      <rPr>
        <sz val="11"/>
        <color theme="1"/>
        <rFont val="Calibri"/>
        <family val="2"/>
      </rPr>
      <t>Japanse haver</t>
    </r>
  </si>
  <si>
    <r>
      <t>o</t>
    </r>
    <r>
      <rPr>
        <sz val="7"/>
        <color theme="1"/>
        <rFont val="Times New Roman"/>
        <family val="1"/>
      </rPr>
      <t xml:space="preserve">   </t>
    </r>
    <r>
      <rPr>
        <sz val="11"/>
        <color theme="1"/>
        <rFont val="Calibri"/>
        <family val="2"/>
      </rPr>
      <t>Bladrammenas</t>
    </r>
  </si>
  <si>
    <t>zaaidichtheid</t>
  </si>
  <si>
    <t xml:space="preserve">  </t>
  </si>
  <si>
    <t>effect op ph</t>
  </si>
  <si>
    <t xml:space="preserve">wiellast kennen zie </t>
  </si>
  <si>
    <t>www.terranimo.dk</t>
  </si>
  <si>
    <t>zaaidat van</t>
  </si>
  <si>
    <t>zaaidat tot</t>
  </si>
  <si>
    <t>half sep</t>
  </si>
  <si>
    <t>begin juli</t>
  </si>
  <si>
    <t>begin juni</t>
  </si>
  <si>
    <t>eind sep</t>
  </si>
  <si>
    <t>half aug</t>
  </si>
  <si>
    <t>begin aug</t>
  </si>
  <si>
    <t>half okt</t>
  </si>
  <si>
    <t>half juli</t>
  </si>
  <si>
    <t>eind okt</t>
  </si>
  <si>
    <t>half juni</t>
  </si>
  <si>
    <t>eind juli</t>
  </si>
  <si>
    <t>afhankelijk van de keuze voor C-rijk materiaal of nutrientenrijk materiaal en de gekozen materialen en hoeveelhden kan de bemestingsnorm worden overschreden, pas in dat geval uw keuze aan</t>
  </si>
  <si>
    <t>zbw/ha</t>
  </si>
  <si>
    <t>afgeschreven over 20 jaar</t>
  </si>
  <si>
    <t>max P2O5 (kg/ha):</t>
  </si>
  <si>
    <r>
      <t>P</t>
    </r>
    <r>
      <rPr>
        <b/>
        <vertAlign val="subscript"/>
        <sz val="10"/>
        <color theme="9" tint="-0.499984740745262"/>
        <rFont val="Calibri Light"/>
        <family val="2"/>
        <scheme val="major"/>
      </rPr>
      <t>2</t>
    </r>
    <r>
      <rPr>
        <b/>
        <sz val="10"/>
        <color theme="9" tint="-0.499984740745262"/>
        <rFont val="Calibri Light"/>
        <family val="2"/>
        <scheme val="major"/>
      </rPr>
      <t>O</t>
    </r>
    <r>
      <rPr>
        <b/>
        <vertAlign val="subscript"/>
        <sz val="10"/>
        <color theme="9" tint="-0.499984740745262"/>
        <rFont val="Calibri Light"/>
        <family val="2"/>
        <scheme val="major"/>
      </rPr>
      <t>5</t>
    </r>
  </si>
  <si>
    <t>=beslisboom</t>
  </si>
  <si>
    <t>Wikken</t>
  </si>
  <si>
    <r>
      <t xml:space="preserve">GE-MAAKTE KOST </t>
    </r>
    <r>
      <rPr>
        <b/>
        <sz val="8"/>
        <color theme="1"/>
        <rFont val="Calibri Light"/>
        <family val="2"/>
        <scheme val="major"/>
      </rPr>
      <t>(EUR/ha)</t>
    </r>
  </si>
  <si>
    <t>% OC afbraak gecom-penseerd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</si>
</sst>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 #,##0;[Red]&quot;€&quot;\ \-#,##0"/>
    <numFmt numFmtId="8" formatCode="&quot;€&quot;\ #,##0.00;[Red]&quot;€&quot;\ \-#,##0.00"/>
    <numFmt numFmtId="43" formatCode="_ * #,##0.00_ ;_ * \-#,##0.00_ ;_ * &quot;-&quot;??_ ;_ @_ "/>
    <numFmt numFmtId="164" formatCode="0.0"/>
    <numFmt numFmtId="165" formatCode="_ * #,##0_ ;_ * \-#,##0_ ;_ * &quot;-&quot;??_ ;_ @_ "/>
    <numFmt numFmtId="166" formatCode="0.0%"/>
  </numFmts>
  <fonts count="83" x14ac:knownFonts="1">
    <font>
      <sz val="10"/>
      <color theme="1"/>
      <name val="Arial"/>
      <family val="2"/>
    </font>
    <font>
      <sz val="10"/>
      <color rgb="FF3F3F76"/>
      <name val="Arial"/>
      <family val="2"/>
    </font>
    <font>
      <b/>
      <sz val="10"/>
      <color rgb="FF3F3F3F"/>
      <name val="Arial"/>
      <family val="2"/>
    </font>
    <font>
      <b/>
      <sz val="10"/>
      <color rgb="FFFA7D00"/>
      <name val="Arial"/>
      <family val="2"/>
    </font>
    <font>
      <b/>
      <sz val="10"/>
      <color theme="1"/>
      <name val="Arial"/>
      <family val="2"/>
    </font>
    <font>
      <i/>
      <sz val="10"/>
      <color theme="1"/>
      <name val="Arial"/>
      <family val="2"/>
    </font>
    <font>
      <sz val="10"/>
      <color theme="1"/>
      <name val="Arial"/>
      <family val="2"/>
    </font>
    <font>
      <sz val="10"/>
      <color rgb="FFFF0000"/>
      <name val="Arial"/>
      <family val="2"/>
    </font>
    <font>
      <sz val="11"/>
      <color theme="1"/>
      <name val="Calibri"/>
      <family val="2"/>
    </font>
    <font>
      <sz val="10"/>
      <color rgb="FF000000"/>
      <name val="Arial"/>
      <family val="2"/>
    </font>
    <font>
      <b/>
      <sz val="11"/>
      <color theme="0"/>
      <name val="Calibri"/>
      <family val="2"/>
    </font>
    <font>
      <u/>
      <sz val="10"/>
      <color theme="10"/>
      <name val="Arial"/>
      <family val="2"/>
    </font>
    <font>
      <sz val="10"/>
      <color theme="2" tint="-0.249977111117893"/>
      <name val="Arial"/>
      <family val="2"/>
    </font>
    <font>
      <sz val="8"/>
      <color rgb="FF000000"/>
      <name val="Segoe UI"/>
      <family val="2"/>
    </font>
    <font>
      <sz val="9"/>
      <color indexed="81"/>
      <name val="Tahoma"/>
      <family val="2"/>
    </font>
    <font>
      <b/>
      <sz val="9"/>
      <color indexed="81"/>
      <name val="Tahoma"/>
      <family val="2"/>
    </font>
    <font>
      <b/>
      <sz val="8"/>
      <color theme="1"/>
      <name val="Arial"/>
      <family val="2"/>
    </font>
    <font>
      <sz val="8"/>
      <color theme="1"/>
      <name val="Arial"/>
      <family val="2"/>
    </font>
    <font>
      <sz val="8"/>
      <color theme="9" tint="-0.249977111117893"/>
      <name val="Arial"/>
      <family val="2"/>
    </font>
    <font>
      <i/>
      <sz val="8"/>
      <color theme="1"/>
      <name val="Arial"/>
      <family val="2"/>
    </font>
    <font>
      <b/>
      <sz val="8"/>
      <color theme="2"/>
      <name val="Arial"/>
      <family val="2"/>
    </font>
    <font>
      <sz val="8"/>
      <color theme="2"/>
      <name val="Arial"/>
      <family val="2"/>
    </font>
    <font>
      <b/>
      <sz val="8"/>
      <color rgb="FF7030A0"/>
      <name val="Arial"/>
      <family val="2"/>
    </font>
    <font>
      <b/>
      <u/>
      <sz val="10"/>
      <color theme="1"/>
      <name val="Arial"/>
      <family val="2"/>
    </font>
    <font>
      <sz val="10"/>
      <name val="Arial"/>
      <family val="2"/>
    </font>
    <font>
      <b/>
      <u/>
      <sz val="10"/>
      <color theme="5" tint="-0.249977111117893"/>
      <name val="Arial"/>
      <family val="2"/>
    </font>
    <font>
      <sz val="10"/>
      <color theme="5" tint="-0.249977111117893"/>
      <name val="Arial"/>
      <family val="2"/>
    </font>
    <font>
      <b/>
      <sz val="8"/>
      <color theme="5" tint="-0.249977111117893"/>
      <name val="Arial"/>
      <family val="2"/>
    </font>
    <font>
      <sz val="10"/>
      <color theme="0" tint="-0.34998626667073579"/>
      <name val="Arial"/>
      <family val="2"/>
    </font>
    <font>
      <b/>
      <sz val="8"/>
      <color theme="1"/>
      <name val="Calibri Light"/>
      <family val="2"/>
      <scheme val="major"/>
    </font>
    <font>
      <b/>
      <sz val="10"/>
      <color theme="1"/>
      <name val="Calibri Light"/>
      <family val="2"/>
      <scheme val="major"/>
    </font>
    <font>
      <i/>
      <sz val="8"/>
      <name val="Calibri Light"/>
      <family val="2"/>
      <scheme val="major"/>
    </font>
    <font>
      <b/>
      <sz val="8"/>
      <color theme="5"/>
      <name val="Calibri Light"/>
      <family val="2"/>
      <scheme val="major"/>
    </font>
    <font>
      <b/>
      <sz val="8"/>
      <color rgb="FFFFC000"/>
      <name val="Calibri Light"/>
      <family val="2"/>
      <scheme val="major"/>
    </font>
    <font>
      <b/>
      <sz val="8"/>
      <color rgb="FF00B0F0"/>
      <name val="Calibri Light"/>
      <family val="2"/>
      <scheme val="major"/>
    </font>
    <font>
      <b/>
      <sz val="8"/>
      <color theme="9" tint="-0.249977111117893"/>
      <name val="Calibri Light"/>
      <family val="2"/>
      <scheme val="major"/>
    </font>
    <font>
      <b/>
      <sz val="9"/>
      <color theme="1"/>
      <name val="Calibri Light"/>
      <family val="2"/>
      <scheme val="major"/>
    </font>
    <font>
      <sz val="8"/>
      <color theme="4" tint="-0.249977111117893"/>
      <name val="Calibri Light"/>
      <family val="2"/>
      <scheme val="major"/>
    </font>
    <font>
      <sz val="12"/>
      <color theme="2"/>
      <name val="Calibri Light"/>
      <family val="2"/>
      <scheme val="major"/>
    </font>
    <font>
      <b/>
      <sz val="10"/>
      <color theme="4" tint="-0.249977111117893"/>
      <name val="Calibri Light"/>
      <family val="2"/>
      <scheme val="major"/>
    </font>
    <font>
      <b/>
      <sz val="8"/>
      <color rgb="FF7030A0"/>
      <name val="Calibri Light"/>
      <family val="2"/>
      <scheme val="major"/>
    </font>
    <font>
      <sz val="12"/>
      <color theme="1"/>
      <name val="Calibri Light"/>
      <family val="2"/>
      <scheme val="major"/>
    </font>
    <font>
      <b/>
      <sz val="8"/>
      <color theme="4" tint="-0.249977111117893"/>
      <name val="Calibri Light"/>
      <family val="2"/>
      <scheme val="major"/>
    </font>
    <font>
      <b/>
      <u/>
      <sz val="12"/>
      <color theme="9" tint="-0.249977111117893"/>
      <name val="Calibri Light"/>
      <family val="2"/>
      <scheme val="major"/>
    </font>
    <font>
      <sz val="8"/>
      <color rgb="FFFF0000"/>
      <name val="Calibri Light"/>
      <family val="2"/>
      <scheme val="major"/>
    </font>
    <font>
      <b/>
      <u/>
      <sz val="12"/>
      <color rgb="FFFF0000"/>
      <name val="Calibri Light"/>
      <family val="2"/>
      <scheme val="major"/>
    </font>
    <font>
      <b/>
      <sz val="8"/>
      <color theme="7" tint="0.79998168889431442"/>
      <name val="Calibri Light"/>
      <family val="2"/>
      <scheme val="major"/>
    </font>
    <font>
      <sz val="10"/>
      <color theme="5" tint="-0.249977111117893"/>
      <name val="Calibri Light"/>
      <family val="2"/>
      <scheme val="major"/>
    </font>
    <font>
      <b/>
      <sz val="8"/>
      <color theme="5" tint="-0.249977111117893"/>
      <name val="Calibri Light"/>
      <family val="2"/>
      <scheme val="major"/>
    </font>
    <font>
      <sz val="10"/>
      <color theme="1"/>
      <name val="Times New Roman"/>
      <family val="1"/>
    </font>
    <font>
      <sz val="11"/>
      <color rgb="FF000000"/>
      <name val="Calibri"/>
      <family val="2"/>
    </font>
    <font>
      <sz val="11"/>
      <color rgb="FFFF0000"/>
      <name val="Calibri"/>
      <family val="2"/>
    </font>
    <font>
      <sz val="6"/>
      <color theme="1"/>
      <name val="Arial"/>
      <family val="2"/>
    </font>
    <font>
      <b/>
      <sz val="9"/>
      <color rgb="FF7030A0"/>
      <name val="Calibri Light"/>
      <family val="2"/>
      <scheme val="major"/>
    </font>
    <font>
      <sz val="8"/>
      <color theme="1"/>
      <name val="Calibri Light"/>
      <family val="2"/>
      <scheme val="major"/>
    </font>
    <font>
      <b/>
      <u/>
      <sz val="8"/>
      <color theme="1"/>
      <name val="Calibri Light"/>
      <family val="2"/>
      <scheme val="major"/>
    </font>
    <font>
      <sz val="8"/>
      <color theme="9" tint="-0.499984740745262"/>
      <name val="Calibri Light"/>
      <family val="2"/>
      <scheme val="major"/>
    </font>
    <font>
      <b/>
      <sz val="10"/>
      <color theme="9" tint="-0.499984740745262"/>
      <name val="Calibri Light"/>
      <family val="2"/>
      <scheme val="major"/>
    </font>
    <font>
      <sz val="10"/>
      <color theme="9" tint="-0.499984740745262"/>
      <name val="Calibri Light"/>
      <family val="2"/>
      <scheme val="major"/>
    </font>
    <font>
      <sz val="8"/>
      <color theme="5" tint="-0.249977111117893"/>
      <name val="Calibri Light"/>
      <family val="2"/>
      <scheme val="major"/>
    </font>
    <font>
      <sz val="10"/>
      <color theme="7"/>
      <name val="Arial"/>
      <family val="2"/>
    </font>
    <font>
      <i/>
      <sz val="10"/>
      <color rgb="FFFF0000"/>
      <name val="Arial"/>
      <family val="2"/>
    </font>
    <font>
      <i/>
      <sz val="8"/>
      <color theme="1"/>
      <name val="Calibri Light"/>
      <family val="2"/>
      <scheme val="major"/>
    </font>
    <font>
      <b/>
      <u/>
      <sz val="8"/>
      <color theme="5" tint="-0.249977111117893"/>
      <name val="Calibri Light"/>
      <family val="2"/>
      <scheme val="major"/>
    </font>
    <font>
      <sz val="8"/>
      <name val="Calibri Light"/>
      <family val="2"/>
      <scheme val="major"/>
    </font>
    <font>
      <sz val="9"/>
      <color theme="1"/>
      <name val="Calibri Light"/>
      <family val="2"/>
      <scheme val="major"/>
    </font>
    <font>
      <b/>
      <sz val="36"/>
      <color theme="1"/>
      <name val="Calibri Light"/>
      <family val="2"/>
      <scheme val="major"/>
    </font>
    <font>
      <b/>
      <u/>
      <sz val="11"/>
      <color theme="5" tint="-0.249977111117893"/>
      <name val="Calibri Light"/>
      <family val="2"/>
      <scheme val="major"/>
    </font>
    <font>
      <sz val="8"/>
      <color theme="9" tint="-0.249977111117893"/>
      <name val="Calibri Light"/>
      <family val="2"/>
      <scheme val="major"/>
    </font>
    <font>
      <sz val="8"/>
      <color rgb="FF7030A0"/>
      <name val="Calibri Light"/>
      <family val="2"/>
      <scheme val="major"/>
    </font>
    <font>
      <u/>
      <sz val="8"/>
      <color theme="9" tint="-0.249977111117893"/>
      <name val="Calibri Light"/>
      <family val="2"/>
      <scheme val="major"/>
    </font>
    <font>
      <b/>
      <u/>
      <sz val="12"/>
      <color theme="8" tint="-0.249977111117893"/>
      <name val="Calibri Light"/>
      <family val="2"/>
      <scheme val="major"/>
    </font>
    <font>
      <sz val="9"/>
      <color theme="2"/>
      <name val="Calibri Light"/>
      <family val="2"/>
      <scheme val="major"/>
    </font>
    <font>
      <sz val="8"/>
      <color theme="2"/>
      <name val="Calibri Light"/>
      <family val="2"/>
      <scheme val="major"/>
    </font>
    <font>
      <sz val="12"/>
      <color rgb="FFFF0000"/>
      <name val="Calibri Light"/>
      <family val="2"/>
      <scheme val="major"/>
    </font>
    <font>
      <sz val="11"/>
      <color theme="1"/>
      <name val="Symbol"/>
      <family val="1"/>
      <charset val="2"/>
    </font>
    <font>
      <sz val="7"/>
      <color theme="1"/>
      <name val="Times New Roman"/>
      <family val="1"/>
    </font>
    <font>
      <sz val="11"/>
      <color theme="1"/>
      <name val="Courier New"/>
      <family val="3"/>
    </font>
    <font>
      <b/>
      <sz val="11"/>
      <color theme="0" tint="-0.34998626667073579"/>
      <name val="Calibri"/>
      <family val="2"/>
    </font>
    <font>
      <b/>
      <vertAlign val="subscript"/>
      <sz val="10"/>
      <color theme="9" tint="-0.499984740745262"/>
      <name val="Calibri Light"/>
      <family val="2"/>
      <scheme val="major"/>
    </font>
    <font>
      <b/>
      <sz val="6"/>
      <color theme="2"/>
      <name val="Arial"/>
      <family val="2"/>
    </font>
    <font>
      <i/>
      <sz val="6"/>
      <color theme="2"/>
      <name val="Arial"/>
      <family val="2"/>
    </font>
    <font>
      <sz val="6"/>
      <color theme="2"/>
      <name val="Arial"/>
      <family val="2"/>
    </font>
  </fonts>
  <fills count="14">
    <fill>
      <patternFill patternType="none"/>
    </fill>
    <fill>
      <patternFill patternType="gray125"/>
    </fill>
    <fill>
      <patternFill patternType="solid">
        <fgColor rgb="FFFFCC99"/>
      </patternFill>
    </fill>
    <fill>
      <patternFill patternType="solid">
        <fgColor rgb="FFF2F2F2"/>
      </patternFill>
    </fill>
    <fill>
      <patternFill patternType="solid">
        <fgColor theme="4"/>
        <bgColor theme="4"/>
      </patternFill>
    </fill>
    <fill>
      <patternFill patternType="solid">
        <fgColor theme="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DCF6F8"/>
        <bgColor indexed="64"/>
      </patternFill>
    </fill>
    <fill>
      <patternFill patternType="solid">
        <fgColor theme="0" tint="-0.14999847407452621"/>
        <bgColor indexed="64"/>
      </patternFill>
    </fill>
    <fill>
      <patternFill patternType="solid">
        <fgColor theme="6"/>
        <bgColor indexed="64"/>
      </patternFill>
    </fill>
    <fill>
      <patternFill patternType="solid">
        <fgColor theme="0" tint="-4.9989318521683403E-2"/>
        <bgColor indexed="64"/>
      </patternFill>
    </fill>
    <fill>
      <patternFill patternType="solid">
        <fgColor theme="0"/>
        <bgColor indexed="64"/>
      </patternFill>
    </fill>
    <fill>
      <patternFill patternType="solid">
        <fgColor rgb="FFFF0000"/>
        <bgColor indexed="64"/>
      </patternFill>
    </fill>
  </fills>
  <borders count="25">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diagonal/>
    </border>
    <border>
      <left/>
      <right style="thin">
        <color theme="4"/>
      </right>
      <top style="thin">
        <color theme="4"/>
      </top>
      <bottom/>
      <diagonal/>
    </border>
    <border>
      <left/>
      <right style="thin">
        <color theme="4"/>
      </right>
      <top/>
      <bottom/>
      <diagonal/>
    </border>
    <border>
      <left style="medium">
        <color theme="0"/>
      </left>
      <right style="mediumDashed">
        <color theme="0"/>
      </right>
      <top/>
      <bottom/>
      <diagonal/>
    </border>
    <border>
      <left style="mediumDashed">
        <color theme="0"/>
      </left>
      <right style="mediumDashed">
        <color theme="0"/>
      </right>
      <top/>
      <bottom/>
      <diagonal/>
    </border>
    <border>
      <left style="mediumDashed">
        <color theme="0"/>
      </left>
      <right style="medium">
        <color theme="0"/>
      </right>
      <top/>
      <bottom/>
      <diagonal/>
    </border>
    <border>
      <left/>
      <right style="medium">
        <color theme="0"/>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diagonal/>
    </border>
    <border>
      <left style="mediumDashed">
        <color theme="0"/>
      </left>
      <right/>
      <top/>
      <bottom/>
      <diagonal/>
    </border>
    <border>
      <left style="thin">
        <color indexed="64"/>
      </left>
      <right style="thin">
        <color indexed="64"/>
      </right>
      <top/>
      <bottom style="thin">
        <color indexed="64"/>
      </bottom>
      <diagonal/>
    </border>
    <border>
      <left style="thin">
        <color rgb="FF7030A0"/>
      </left>
      <right style="thin">
        <color rgb="FF7030A0"/>
      </right>
      <top style="thin">
        <color rgb="FF7030A0"/>
      </top>
      <bottom/>
      <diagonal/>
    </border>
    <border>
      <left style="thin">
        <color rgb="FF7030A0"/>
      </left>
      <right style="thin">
        <color rgb="FF7030A0"/>
      </right>
      <top/>
      <bottom/>
      <diagonal/>
    </border>
    <border>
      <left style="thin">
        <color rgb="FF7030A0"/>
      </left>
      <right style="thin">
        <color rgb="FF7030A0"/>
      </right>
      <top/>
      <bottom style="thin">
        <color rgb="FF7030A0"/>
      </bottom>
      <diagonal/>
    </border>
    <border>
      <left style="thin">
        <color rgb="FF7030A0"/>
      </left>
      <right/>
      <top style="thin">
        <color rgb="FF7030A0"/>
      </top>
      <bottom style="thin">
        <color rgb="FF7030A0"/>
      </bottom>
      <diagonal/>
    </border>
    <border>
      <left/>
      <right/>
      <top style="thin">
        <color rgb="FF7030A0"/>
      </top>
      <bottom style="thin">
        <color rgb="FF7030A0"/>
      </bottom>
      <diagonal/>
    </border>
    <border>
      <left/>
      <right style="thin">
        <color rgb="FF7030A0"/>
      </right>
      <top style="thin">
        <color rgb="FF7030A0"/>
      </top>
      <bottom style="thin">
        <color rgb="FF7030A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theme="0"/>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0"/>
      </left>
      <right/>
      <top/>
      <bottom/>
      <diagonal/>
    </border>
  </borders>
  <cellStyleXfs count="8">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9" fontId="6" fillId="0" borderId="0" applyFont="0" applyFill="0" applyBorder="0" applyAlignment="0" applyProtection="0"/>
    <xf numFmtId="0" fontId="11" fillId="0" borderId="0" applyNumberFormat="0" applyFill="0" applyBorder="0" applyAlignment="0" applyProtection="0"/>
    <xf numFmtId="43" fontId="6" fillId="0" borderId="0" applyFont="0" applyFill="0" applyBorder="0" applyAlignment="0" applyProtection="0"/>
    <xf numFmtId="0" fontId="6" fillId="0" borderId="0"/>
  </cellStyleXfs>
  <cellXfs count="233">
    <xf numFmtId="0" fontId="0" fillId="0" borderId="0" xfId="0"/>
    <xf numFmtId="0" fontId="5" fillId="0" borderId="0" xfId="0" applyFont="1"/>
    <xf numFmtId="0" fontId="8" fillId="0" borderId="0" xfId="0" applyFont="1" applyAlignment="1">
      <alignment vertical="center"/>
    </xf>
    <xf numFmtId="0" fontId="9" fillId="0" borderId="0" xfId="0" applyFont="1" applyAlignment="1">
      <alignment vertical="center"/>
    </xf>
    <xf numFmtId="0" fontId="10" fillId="4" borderId="3" xfId="0" applyFont="1" applyFill="1" applyBorder="1" applyAlignment="1">
      <alignment vertical="center"/>
    </xf>
    <xf numFmtId="0" fontId="10" fillId="4" borderId="3" xfId="0" applyFont="1" applyFill="1" applyBorder="1" applyAlignment="1">
      <alignment vertical="center" wrapText="1"/>
    </xf>
    <xf numFmtId="0" fontId="10" fillId="4" borderId="4" xfId="0" applyFont="1" applyFill="1" applyBorder="1" applyAlignment="1">
      <alignment vertical="center" wrapText="1"/>
    </xf>
    <xf numFmtId="0" fontId="11" fillId="0" borderId="0" xfId="5"/>
    <xf numFmtId="0" fontId="10" fillId="4" borderId="0" xfId="0" applyFont="1" applyFill="1" applyBorder="1" applyAlignment="1">
      <alignment vertical="center" wrapText="1"/>
    </xf>
    <xf numFmtId="0" fontId="12" fillId="0" borderId="0" xfId="0" applyFont="1"/>
    <xf numFmtId="0" fontId="0" fillId="0" borderId="0" xfId="0" applyFill="1"/>
    <xf numFmtId="0" fontId="0" fillId="0" borderId="0" xfId="0" applyFill="1" applyAlignment="1">
      <alignment horizontal="left"/>
    </xf>
    <xf numFmtId="164" fontId="0" fillId="0" borderId="0" xfId="0" applyNumberFormat="1" applyFill="1" applyAlignment="1">
      <alignment horizontal="left"/>
    </xf>
    <xf numFmtId="1" fontId="0" fillId="0" borderId="0" xfId="0" applyNumberFormat="1" applyFill="1" applyAlignment="1">
      <alignment horizontal="left"/>
    </xf>
    <xf numFmtId="164" fontId="4" fillId="0" borderId="0" xfId="0" applyNumberFormat="1" applyFont="1" applyFill="1" applyAlignment="1">
      <alignment horizontal="left"/>
    </xf>
    <xf numFmtId="0" fontId="4" fillId="0" borderId="0" xfId="0" applyFont="1" applyFill="1" applyAlignment="1">
      <alignment horizontal="left"/>
    </xf>
    <xf numFmtId="0" fontId="0" fillId="0" borderId="0" xfId="0" applyFont="1" applyFill="1" applyAlignment="1">
      <alignment horizontal="left"/>
    </xf>
    <xf numFmtId="0" fontId="7" fillId="0" borderId="0" xfId="0" applyFont="1"/>
    <xf numFmtId="0" fontId="18" fillId="0" borderId="0" xfId="0" applyFont="1" applyAlignment="1">
      <alignment horizontal="center" vertical="center"/>
    </xf>
    <xf numFmtId="0" fontId="0" fillId="0" borderId="0" xfId="0" applyAlignment="1">
      <alignment horizontal="center" vertical="center"/>
    </xf>
    <xf numFmtId="0" fontId="0" fillId="5" borderId="0" xfId="0" applyFill="1" applyAlignment="1">
      <alignment horizontal="center" vertical="center"/>
    </xf>
    <xf numFmtId="0" fontId="16" fillId="0" borderId="0" xfId="0" applyFont="1" applyBorder="1" applyAlignment="1">
      <alignment horizontal="center" vertical="center"/>
    </xf>
    <xf numFmtId="0" fontId="19" fillId="0" borderId="0" xfId="0" applyFont="1" applyAlignment="1">
      <alignment horizontal="left" vertical="center"/>
    </xf>
    <xf numFmtId="0" fontId="0" fillId="7" borderId="0" xfId="0" applyFill="1" applyAlignment="1">
      <alignment horizontal="center" vertical="center"/>
    </xf>
    <xf numFmtId="1" fontId="22" fillId="6" borderId="0" xfId="2" applyNumberFormat="1" applyFont="1" applyFill="1" applyBorder="1" applyAlignment="1">
      <alignment horizontal="center" vertical="center"/>
    </xf>
    <xf numFmtId="0" fontId="0" fillId="0" borderId="0" xfId="0" applyNumberFormat="1"/>
    <xf numFmtId="0" fontId="8" fillId="0" borderId="0" xfId="0" applyFont="1" applyFill="1" applyBorder="1" applyAlignment="1">
      <alignment vertical="center"/>
    </xf>
    <xf numFmtId="0" fontId="0" fillId="0" borderId="0" xfId="0" applyFont="1" applyFill="1" applyBorder="1"/>
    <xf numFmtId="0" fontId="0" fillId="0" borderId="5" xfId="0" applyFont="1" applyFill="1" applyBorder="1"/>
    <xf numFmtId="0" fontId="24" fillId="0" borderId="0" xfId="5" applyFont="1"/>
    <xf numFmtId="0" fontId="24" fillId="0" borderId="0" xfId="0" applyFont="1"/>
    <xf numFmtId="0" fontId="27" fillId="6" borderId="0" xfId="0" applyFont="1" applyFill="1" applyBorder="1" applyAlignment="1">
      <alignment horizontal="center" vertical="center"/>
    </xf>
    <xf numFmtId="0" fontId="0" fillId="10" borderId="0" xfId="0" applyFill="1"/>
    <xf numFmtId="0" fontId="24" fillId="10" borderId="0" xfId="0" applyFont="1" applyFill="1"/>
    <xf numFmtId="0" fontId="28" fillId="0" borderId="0" xfId="0" applyFont="1"/>
    <xf numFmtId="1" fontId="22" fillId="11" borderId="0" xfId="2" applyNumberFormat="1" applyFont="1" applyFill="1" applyBorder="1" applyAlignment="1">
      <alignment horizontal="center" vertical="center"/>
    </xf>
    <xf numFmtId="1" fontId="16" fillId="11" borderId="0" xfId="2" applyNumberFormat="1" applyFont="1" applyFill="1" applyBorder="1" applyAlignment="1">
      <alignment horizontal="center" vertical="center"/>
    </xf>
    <xf numFmtId="0" fontId="27" fillId="11" borderId="0" xfId="0" applyFont="1" applyFill="1" applyBorder="1" applyAlignment="1">
      <alignment horizontal="center" vertical="center"/>
    </xf>
    <xf numFmtId="0" fontId="29" fillId="5" borderId="0" xfId="0" applyFont="1" applyFill="1" applyBorder="1" applyAlignment="1">
      <alignment horizontal="center" vertical="center" wrapText="1"/>
    </xf>
    <xf numFmtId="0" fontId="37" fillId="7" borderId="0" xfId="0" applyFont="1" applyFill="1" applyAlignment="1">
      <alignment horizontal="center" vertical="center"/>
    </xf>
    <xf numFmtId="0" fontId="38" fillId="7" borderId="6" xfId="0" applyFont="1" applyFill="1" applyBorder="1" applyAlignment="1">
      <alignment horizontal="center" vertical="center"/>
    </xf>
    <xf numFmtId="0" fontId="38" fillId="7" borderId="7" xfId="0" applyFont="1" applyFill="1" applyBorder="1" applyAlignment="1">
      <alignment horizontal="center" vertical="center"/>
    </xf>
    <xf numFmtId="0" fontId="41" fillId="6" borderId="6" xfId="0" applyFont="1" applyFill="1" applyBorder="1" applyAlignment="1">
      <alignment horizontal="center" vertical="center"/>
    </xf>
    <xf numFmtId="0" fontId="38" fillId="6" borderId="7" xfId="0" applyFont="1" applyFill="1" applyBorder="1" applyAlignment="1">
      <alignment horizontal="center" vertical="center"/>
    </xf>
    <xf numFmtId="0" fontId="40" fillId="6" borderId="0" xfId="1" applyFont="1" applyFill="1" applyBorder="1" applyAlignment="1">
      <alignment horizontal="center" vertical="center" wrapText="1"/>
    </xf>
    <xf numFmtId="1" fontId="40" fillId="6" borderId="0" xfId="2" applyNumberFormat="1" applyFont="1" applyFill="1" applyBorder="1" applyAlignment="1">
      <alignment horizontal="center" vertical="center"/>
    </xf>
    <xf numFmtId="0" fontId="43" fillId="6" borderId="7" xfId="0" applyFont="1" applyFill="1" applyBorder="1" applyAlignment="1">
      <alignment horizontal="center" vertical="center"/>
    </xf>
    <xf numFmtId="0" fontId="46" fillId="6" borderId="0" xfId="0" applyFont="1" applyFill="1" applyBorder="1" applyAlignment="1">
      <alignment horizontal="center" vertical="center"/>
    </xf>
    <xf numFmtId="0" fontId="47" fillId="6" borderId="0" xfId="0" applyFont="1" applyFill="1" applyAlignment="1">
      <alignment horizontal="center" vertical="center"/>
    </xf>
    <xf numFmtId="0" fontId="48" fillId="6" borderId="0" xfId="0" applyFont="1" applyFill="1" applyBorder="1" applyAlignment="1">
      <alignment horizontal="center" vertical="center"/>
    </xf>
    <xf numFmtId="0" fontId="44" fillId="8" borderId="0" xfId="0" applyFont="1" applyFill="1" applyAlignment="1">
      <alignment horizontal="left" wrapText="1"/>
    </xf>
    <xf numFmtId="0" fontId="43" fillId="8" borderId="6" xfId="0" applyFont="1" applyFill="1" applyBorder="1" applyAlignment="1">
      <alignment horizontal="center" vertical="center"/>
    </xf>
    <xf numFmtId="0" fontId="38" fillId="8" borderId="7" xfId="0" applyFont="1" applyFill="1" applyBorder="1" applyAlignment="1">
      <alignment horizontal="center" vertical="center"/>
    </xf>
    <xf numFmtId="0" fontId="45" fillId="8" borderId="8" xfId="0" applyFont="1" applyFill="1" applyBorder="1" applyAlignment="1">
      <alignment horizontal="center" wrapText="1"/>
    </xf>
    <xf numFmtId="0" fontId="40" fillId="11" borderId="0" xfId="1" applyFont="1" applyFill="1" applyBorder="1" applyAlignment="1">
      <alignment horizontal="center" vertical="center" wrapText="1"/>
    </xf>
    <xf numFmtId="1" fontId="40" fillId="11" borderId="0" xfId="2" applyNumberFormat="1" applyFont="1" applyFill="1" applyBorder="1" applyAlignment="1">
      <alignment horizontal="center" vertical="center"/>
    </xf>
    <xf numFmtId="0" fontId="29" fillId="11" borderId="0" xfId="0" applyFont="1" applyFill="1" applyBorder="1" applyAlignment="1">
      <alignment horizontal="center" vertical="center"/>
    </xf>
    <xf numFmtId="1" fontId="29" fillId="11" borderId="0" xfId="2" applyNumberFormat="1" applyFont="1" applyFill="1" applyBorder="1" applyAlignment="1">
      <alignment horizontal="center" vertical="center"/>
    </xf>
    <xf numFmtId="0" fontId="7" fillId="0" borderId="0" xfId="0" applyFont="1" applyFill="1" applyAlignment="1">
      <alignment horizontal="left"/>
    </xf>
    <xf numFmtId="0" fontId="8" fillId="0" borderId="0" xfId="0" applyFont="1" applyBorder="1" applyAlignment="1">
      <alignment vertical="center"/>
    </xf>
    <xf numFmtId="0" fontId="0" fillId="0" borderId="0" xfId="0" applyFont="1" applyBorder="1"/>
    <xf numFmtId="0" fontId="29" fillId="5" borderId="0" xfId="0" applyFont="1" applyFill="1" applyBorder="1" applyAlignment="1">
      <alignment horizontal="center" vertical="center" wrapText="1"/>
    </xf>
    <xf numFmtId="0" fontId="4" fillId="0" borderId="0" xfId="0" applyFont="1"/>
    <xf numFmtId="2" fontId="0" fillId="0" borderId="0" xfId="0" applyNumberFormat="1"/>
    <xf numFmtId="0" fontId="49" fillId="0" borderId="0" xfId="0" applyFont="1"/>
    <xf numFmtId="0" fontId="50" fillId="0" borderId="0" xfId="0" applyFont="1" applyAlignment="1">
      <alignment horizontal="right" vertical="center"/>
    </xf>
    <xf numFmtId="0" fontId="50" fillId="0" borderId="0" xfId="0" applyFont="1" applyAlignment="1">
      <alignment horizontal="center" vertical="center"/>
    </xf>
    <xf numFmtId="0" fontId="50" fillId="0" borderId="0" xfId="0" applyFont="1" applyAlignment="1">
      <alignment vertical="center" wrapText="1"/>
    </xf>
    <xf numFmtId="8" fontId="50" fillId="0" borderId="0" xfId="0" applyNumberFormat="1" applyFont="1" applyAlignment="1">
      <alignment horizontal="right" vertical="center"/>
    </xf>
    <xf numFmtId="6" fontId="50" fillId="0" borderId="0" xfId="0" applyNumberFormat="1" applyFont="1" applyAlignment="1">
      <alignment horizontal="right" vertical="center"/>
    </xf>
    <xf numFmtId="0" fontId="0" fillId="0" borderId="0" xfId="0" applyBorder="1"/>
    <xf numFmtId="0" fontId="51" fillId="0" borderId="0" xfId="0" applyFont="1" applyBorder="1" applyAlignment="1">
      <alignment vertical="center"/>
    </xf>
    <xf numFmtId="0" fontId="0" fillId="6" borderId="0" xfId="0" applyFont="1" applyFill="1" applyBorder="1"/>
    <xf numFmtId="0" fontId="8" fillId="6" borderId="0" xfId="0" applyFont="1" applyFill="1" applyBorder="1" applyAlignment="1">
      <alignment vertical="center"/>
    </xf>
    <xf numFmtId="0" fontId="0" fillId="6" borderId="0" xfId="0" applyFill="1" applyBorder="1"/>
    <xf numFmtId="0" fontId="0" fillId="13" borderId="0" xfId="0" applyFill="1"/>
    <xf numFmtId="0" fontId="0" fillId="13" borderId="0" xfId="0" applyFill="1" applyBorder="1"/>
    <xf numFmtId="0" fontId="7" fillId="0" borderId="0" xfId="0" applyFont="1" applyBorder="1"/>
    <xf numFmtId="0" fontId="0" fillId="0" borderId="0" xfId="0" applyFill="1" applyBorder="1"/>
    <xf numFmtId="0" fontId="52" fillId="0" borderId="0" xfId="0" applyFont="1" applyBorder="1"/>
    <xf numFmtId="0" fontId="52" fillId="0" borderId="0" xfId="0" applyFont="1"/>
    <xf numFmtId="0" fontId="52" fillId="6" borderId="0" xfId="0" applyFont="1" applyFill="1" applyBorder="1"/>
    <xf numFmtId="0" fontId="0" fillId="6" borderId="5" xfId="0" applyFont="1" applyFill="1" applyBorder="1"/>
    <xf numFmtId="0" fontId="4" fillId="13" borderId="0" xfId="0" applyFont="1" applyFill="1" applyAlignment="1">
      <alignment horizontal="left"/>
    </xf>
    <xf numFmtId="0" fontId="45" fillId="6" borderId="0" xfId="0" applyFont="1" applyFill="1" applyBorder="1" applyAlignment="1">
      <alignment horizontal="center" wrapText="1"/>
    </xf>
    <xf numFmtId="0" fontId="45" fillId="8" borderId="0" xfId="0" applyFont="1" applyFill="1" applyBorder="1" applyAlignment="1">
      <alignment horizontal="center" wrapText="1"/>
    </xf>
    <xf numFmtId="0" fontId="29" fillId="5" borderId="0" xfId="0" applyFont="1" applyFill="1" applyBorder="1" applyAlignment="1">
      <alignment horizontal="center" vertical="center" textRotation="90" wrapText="1"/>
    </xf>
    <xf numFmtId="0" fontId="17" fillId="0" borderId="0" xfId="0" applyFont="1" applyAlignment="1">
      <alignment horizontal="center" vertical="center"/>
    </xf>
    <xf numFmtId="0" fontId="54" fillId="7" borderId="0" xfId="0" applyFont="1" applyFill="1" applyBorder="1" applyAlignment="1">
      <alignment horizontal="center" vertical="center"/>
    </xf>
    <xf numFmtId="0" fontId="54" fillId="6" borderId="0" xfId="0" applyFont="1" applyFill="1" applyBorder="1" applyAlignment="1">
      <alignment horizontal="center" vertical="center" wrapText="1"/>
    </xf>
    <xf numFmtId="0" fontId="55" fillId="6" borderId="0" xfId="0" applyFont="1" applyFill="1" applyBorder="1" applyAlignment="1">
      <alignment horizontal="center" vertical="center"/>
    </xf>
    <xf numFmtId="0" fontId="54" fillId="6" borderId="0" xfId="0" applyFont="1" applyFill="1" applyBorder="1" applyAlignment="1">
      <alignment horizontal="center" vertical="center"/>
    </xf>
    <xf numFmtId="0" fontId="55" fillId="6" borderId="0" xfId="0" applyFont="1" applyFill="1" applyBorder="1" applyAlignment="1">
      <alignment horizontal="center" wrapText="1"/>
    </xf>
    <xf numFmtId="0" fontId="55" fillId="8" borderId="0" xfId="0" applyFont="1" applyFill="1" applyBorder="1" applyAlignment="1">
      <alignment horizontal="center" wrapText="1"/>
    </xf>
    <xf numFmtId="0" fontId="57" fillId="6" borderId="6" xfId="0" applyFont="1" applyFill="1" applyBorder="1" applyAlignment="1">
      <alignment horizontal="right" vertical="center"/>
    </xf>
    <xf numFmtId="1" fontId="58" fillId="6" borderId="7" xfId="0" applyNumberFormat="1" applyFont="1" applyFill="1" applyBorder="1" applyAlignment="1">
      <alignment horizontal="center" vertical="center"/>
    </xf>
    <xf numFmtId="0" fontId="10" fillId="4" borderId="0" xfId="0" applyFont="1" applyFill="1" applyAlignment="1">
      <alignment vertical="center" wrapText="1"/>
    </xf>
    <xf numFmtId="0" fontId="54" fillId="7" borderId="0" xfId="0" applyFont="1" applyFill="1" applyAlignment="1">
      <alignment horizontal="left" vertical="center" wrapText="1"/>
    </xf>
    <xf numFmtId="0" fontId="54" fillId="6" borderId="0" xfId="0" applyFont="1" applyFill="1" applyAlignment="1">
      <alignment horizontal="left" vertical="center" wrapText="1"/>
    </xf>
    <xf numFmtId="0" fontId="56" fillId="6" borderId="0" xfId="0" applyFont="1" applyFill="1" applyAlignment="1">
      <alignment horizontal="left" vertical="center" wrapText="1"/>
    </xf>
    <xf numFmtId="0" fontId="54" fillId="8" borderId="0" xfId="0" applyFont="1" applyFill="1" applyAlignment="1">
      <alignment horizontal="left" vertical="center" wrapText="1"/>
    </xf>
    <xf numFmtId="0" fontId="29" fillId="5" borderId="0" xfId="0" applyFont="1" applyFill="1" applyBorder="1" applyAlignment="1">
      <alignment horizontal="center" vertical="center" wrapText="1"/>
    </xf>
    <xf numFmtId="164" fontId="0" fillId="0" borderId="0" xfId="0" applyNumberFormat="1"/>
    <xf numFmtId="0" fontId="60" fillId="0" borderId="0" xfId="0" applyFont="1"/>
    <xf numFmtId="2" fontId="0" fillId="13" borderId="0" xfId="0" applyNumberFormat="1" applyFill="1"/>
    <xf numFmtId="0" fontId="61" fillId="0" borderId="0" xfId="0" applyFont="1"/>
    <xf numFmtId="0" fontId="43" fillId="6" borderId="12" xfId="0" applyFont="1" applyFill="1" applyBorder="1" applyAlignment="1">
      <alignment horizontal="center" vertical="center"/>
    </xf>
    <xf numFmtId="0" fontId="45" fillId="6" borderId="12" xfId="0" applyFont="1" applyFill="1" applyBorder="1" applyAlignment="1">
      <alignment horizontal="center" wrapText="1"/>
    </xf>
    <xf numFmtId="0" fontId="54" fillId="8" borderId="0" xfId="0" applyFont="1" applyFill="1" applyAlignment="1">
      <alignment horizontal="left" wrapText="1"/>
    </xf>
    <xf numFmtId="0" fontId="63" fillId="6" borderId="0" xfId="0" applyFont="1" applyFill="1" applyAlignment="1">
      <alignment horizontal="left" vertical="center" wrapText="1"/>
    </xf>
    <xf numFmtId="0" fontId="0" fillId="0" borderId="0" xfId="0" applyFill="1" applyBorder="1" applyAlignment="1">
      <alignment horizontal="left"/>
    </xf>
    <xf numFmtId="0" fontId="4" fillId="0" borderId="0" xfId="0" applyFont="1" applyFill="1" applyBorder="1" applyAlignment="1">
      <alignment horizontal="left"/>
    </xf>
    <xf numFmtId="43" fontId="7" fillId="0" borderId="0" xfId="6" applyFont="1" applyFill="1" applyBorder="1" applyAlignment="1">
      <alignment horizontal="left"/>
    </xf>
    <xf numFmtId="0" fontId="54" fillId="8" borderId="0" xfId="1" applyFont="1" applyFill="1" applyBorder="1" applyAlignment="1" applyProtection="1">
      <alignment horizontal="center" vertical="center" wrapText="1"/>
      <protection locked="0"/>
    </xf>
    <xf numFmtId="0" fontId="29" fillId="5" borderId="17" xfId="0" applyFont="1" applyFill="1" applyBorder="1" applyAlignment="1">
      <alignment horizontal="center" vertical="center" wrapText="1"/>
    </xf>
    <xf numFmtId="0" fontId="29" fillId="5" borderId="19" xfId="0" applyFont="1" applyFill="1" applyBorder="1" applyAlignment="1">
      <alignment vertical="center"/>
    </xf>
    <xf numFmtId="0" fontId="29" fillId="5" borderId="0" xfId="0" applyFont="1" applyFill="1" applyBorder="1" applyAlignment="1">
      <alignment horizontal="right" vertical="center" wrapText="1"/>
    </xf>
    <xf numFmtId="0" fontId="62" fillId="5" borderId="0" xfId="0" applyFont="1" applyFill="1" applyBorder="1" applyAlignment="1">
      <alignment horizontal="right" vertical="center" wrapText="1"/>
    </xf>
    <xf numFmtId="0" fontId="62" fillId="5" borderId="0" xfId="0" applyFont="1" applyFill="1" applyBorder="1" applyAlignment="1">
      <alignment horizontal="left" vertical="center" wrapText="1"/>
    </xf>
    <xf numFmtId="9" fontId="62" fillId="5" borderId="0" xfId="4" applyFont="1" applyFill="1" applyBorder="1" applyAlignment="1">
      <alignment horizontal="left" vertical="center" wrapText="1"/>
    </xf>
    <xf numFmtId="0" fontId="67" fillId="6" borderId="0" xfId="0" applyFont="1" applyFill="1" applyAlignment="1">
      <alignment horizontal="left" vertical="center"/>
    </xf>
    <xf numFmtId="0" fontId="68" fillId="6" borderId="0" xfId="0" applyFont="1" applyFill="1" applyAlignment="1">
      <alignment horizontal="center" vertical="center"/>
    </xf>
    <xf numFmtId="0" fontId="69" fillId="12" borderId="10" xfId="1" applyFont="1" applyFill="1" applyBorder="1" applyAlignment="1" applyProtection="1">
      <alignment horizontal="center" vertical="center" wrapText="1"/>
      <protection locked="0"/>
    </xf>
    <xf numFmtId="0" fontId="69" fillId="12" borderId="1" xfId="1" applyFont="1" applyFill="1" applyAlignment="1" applyProtection="1">
      <alignment horizontal="left" vertical="center" wrapText="1"/>
      <protection locked="0"/>
    </xf>
    <xf numFmtId="0" fontId="69" fillId="12" borderId="11" xfId="1" applyFont="1" applyFill="1" applyBorder="1" applyAlignment="1" applyProtection="1">
      <alignment horizontal="left" vertical="center" wrapText="1"/>
      <protection locked="0"/>
    </xf>
    <xf numFmtId="0" fontId="36" fillId="5" borderId="18" xfId="0" applyFont="1" applyFill="1" applyBorder="1" applyAlignment="1">
      <alignment vertical="center"/>
    </xf>
    <xf numFmtId="0" fontId="62" fillId="5" borderId="0" xfId="0" applyFont="1" applyFill="1" applyBorder="1" applyAlignment="1">
      <alignment horizontal="center" vertical="center" wrapText="1"/>
    </xf>
    <xf numFmtId="0" fontId="71" fillId="12" borderId="20" xfId="0" applyFont="1" applyFill="1" applyBorder="1" applyAlignment="1">
      <alignment horizontal="left" vertical="center"/>
    </xf>
    <xf numFmtId="0" fontId="71" fillId="12" borderId="21" xfId="0" applyFont="1" applyFill="1" applyBorder="1" applyAlignment="1">
      <alignment horizontal="center" vertical="center"/>
    </xf>
    <xf numFmtId="0" fontId="0" fillId="11" borderId="0" xfId="0" applyFill="1" applyAlignment="1">
      <alignment horizontal="center" vertical="center"/>
    </xf>
    <xf numFmtId="0" fontId="29" fillId="5" borderId="0" xfId="0" applyFont="1" applyFill="1" applyBorder="1" applyAlignment="1">
      <alignment horizontal="right" vertical="center"/>
    </xf>
    <xf numFmtId="0" fontId="74" fillId="6" borderId="7" xfId="0" applyFont="1" applyFill="1" applyBorder="1" applyAlignment="1">
      <alignment horizontal="center" vertical="center"/>
    </xf>
    <xf numFmtId="0" fontId="72" fillId="8" borderId="7" xfId="0" applyFont="1" applyFill="1" applyBorder="1" applyAlignment="1">
      <alignment horizontal="center" vertical="center"/>
    </xf>
    <xf numFmtId="0" fontId="73" fillId="8" borderId="7" xfId="0" applyFont="1" applyFill="1" applyBorder="1" applyAlignment="1">
      <alignment horizontal="center" vertical="center"/>
    </xf>
    <xf numFmtId="0" fontId="75" fillId="0" borderId="0" xfId="0" applyFont="1" applyAlignment="1">
      <alignment horizontal="left" vertical="center" indent="4"/>
    </xf>
    <xf numFmtId="0" fontId="77" fillId="0" borderId="0" xfId="0" applyFont="1" applyAlignment="1">
      <alignment horizontal="left" vertical="center" indent="8"/>
    </xf>
    <xf numFmtId="0" fontId="28" fillId="0" borderId="0" xfId="7" applyFont="1" applyFill="1"/>
    <xf numFmtId="0" fontId="28" fillId="0" borderId="0" xfId="7" applyFont="1" applyFill="1" applyAlignment="1">
      <alignment horizontal="left"/>
    </xf>
    <xf numFmtId="0" fontId="78" fillId="0" borderId="0" xfId="7" applyFont="1" applyFill="1" applyBorder="1" applyAlignment="1">
      <alignment vertical="center" wrapText="1"/>
    </xf>
    <xf numFmtId="0" fontId="28" fillId="0" borderId="0" xfId="0" applyFont="1" applyFill="1" applyAlignment="1">
      <alignment horizontal="left"/>
    </xf>
    <xf numFmtId="1" fontId="28" fillId="0" borderId="0" xfId="7" applyNumberFormat="1" applyFont="1" applyFill="1" applyAlignment="1">
      <alignment horizontal="left"/>
    </xf>
    <xf numFmtId="0" fontId="10" fillId="0" borderId="0" xfId="0" applyFont="1" applyFill="1" applyAlignment="1">
      <alignment vertical="center" wrapText="1"/>
    </xf>
    <xf numFmtId="165" fontId="7" fillId="0" borderId="0" xfId="6" applyNumberFormat="1" applyFont="1"/>
    <xf numFmtId="165" fontId="0" fillId="0" borderId="0" xfId="6" applyNumberFormat="1" applyFont="1"/>
    <xf numFmtId="0" fontId="73" fillId="7" borderId="24" xfId="0" applyFont="1" applyFill="1" applyBorder="1" applyAlignment="1">
      <alignment horizontal="center" vertical="center"/>
    </xf>
    <xf numFmtId="0" fontId="43" fillId="8" borderId="0" xfId="0" applyFont="1" applyFill="1" applyBorder="1" applyAlignment="1">
      <alignment horizontal="center" vertical="center"/>
    </xf>
    <xf numFmtId="0" fontId="38" fillId="8" borderId="0" xfId="0" applyFont="1" applyFill="1" applyBorder="1" applyAlignment="1">
      <alignment horizontal="center" vertical="center"/>
    </xf>
    <xf numFmtId="0" fontId="73" fillId="6" borderId="12" xfId="0" applyFont="1" applyFill="1" applyBorder="1" applyAlignment="1">
      <alignment horizontal="center" vertical="center"/>
    </xf>
    <xf numFmtId="0" fontId="73" fillId="6" borderId="7" xfId="0" applyFont="1" applyFill="1" applyBorder="1" applyAlignment="1">
      <alignment horizontal="center" vertical="center"/>
    </xf>
    <xf numFmtId="0" fontId="73" fillId="8" borderId="0" xfId="0" applyFont="1" applyFill="1" applyBorder="1" applyAlignment="1">
      <alignment horizontal="center" vertical="center"/>
    </xf>
    <xf numFmtId="0" fontId="11" fillId="8" borderId="0" xfId="5" applyFill="1" applyAlignment="1">
      <alignment horizontal="left" vertical="center" wrapText="1"/>
    </xf>
    <xf numFmtId="0" fontId="73" fillId="7" borderId="6" xfId="0" applyFont="1" applyFill="1" applyBorder="1" applyAlignment="1">
      <alignment horizontal="center" vertical="center"/>
    </xf>
    <xf numFmtId="16" fontId="52" fillId="0" borderId="0" xfId="0" applyNumberFormat="1" applyFont="1" applyBorder="1"/>
    <xf numFmtId="0" fontId="54" fillId="6" borderId="0" xfId="0" applyFont="1" applyFill="1" applyAlignment="1">
      <alignment horizontal="center"/>
    </xf>
    <xf numFmtId="0" fontId="57" fillId="6" borderId="7" xfId="0" applyFont="1" applyFill="1" applyBorder="1" applyAlignment="1">
      <alignment horizontal="right" vertical="center"/>
    </xf>
    <xf numFmtId="166" fontId="40" fillId="12" borderId="13" xfId="4" applyNumberFormat="1" applyFont="1" applyFill="1" applyBorder="1" applyAlignment="1" applyProtection="1">
      <alignment horizontal="left" vertical="center"/>
      <protection locked="0"/>
    </xf>
    <xf numFmtId="0" fontId="69" fillId="12" borderId="10" xfId="0" applyFont="1" applyFill="1" applyBorder="1" applyAlignment="1" applyProtection="1">
      <alignment horizontal="center" vertical="center"/>
      <protection locked="0"/>
    </xf>
    <xf numFmtId="1" fontId="69" fillId="12" borderId="10" xfId="2" applyNumberFormat="1" applyFont="1" applyFill="1" applyBorder="1" applyAlignment="1" applyProtection="1">
      <alignment horizontal="center" vertical="center"/>
      <protection locked="0"/>
    </xf>
    <xf numFmtId="0" fontId="70" fillId="6" borderId="0"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textRotation="90"/>
      <protection locked="0"/>
    </xf>
    <xf numFmtId="0" fontId="21" fillId="7" borderId="0" xfId="0" applyFont="1" applyFill="1" applyAlignment="1" applyProtection="1">
      <alignment horizontal="center" vertical="center"/>
      <protection locked="0"/>
    </xf>
    <xf numFmtId="0" fontId="21" fillId="6" borderId="0" xfId="0" applyFont="1" applyFill="1" applyAlignment="1" applyProtection="1">
      <alignment horizontal="center" vertical="center"/>
      <protection locked="0"/>
    </xf>
    <xf numFmtId="0" fontId="25" fillId="6" borderId="0" xfId="0" applyFont="1" applyFill="1" applyAlignment="1" applyProtection="1">
      <alignment horizontal="center" vertical="center"/>
      <protection locked="0"/>
    </xf>
    <xf numFmtId="0" fontId="21" fillId="8" borderId="0" xfId="0" applyFont="1" applyFill="1" applyAlignment="1" applyProtection="1">
      <alignment horizontal="center" vertical="center"/>
      <protection locked="0"/>
    </xf>
    <xf numFmtId="0" fontId="23" fillId="9" borderId="0" xfId="0" applyFont="1" applyFill="1" applyAlignment="1" applyProtection="1">
      <alignment horizontal="center" vertical="center"/>
      <protection locked="0"/>
    </xf>
    <xf numFmtId="0" fontId="0" fillId="0" borderId="0" xfId="0" applyAlignment="1" applyProtection="1">
      <alignment horizontal="center" vertical="center"/>
      <protection locked="0"/>
    </xf>
    <xf numFmtId="0" fontId="17" fillId="0" borderId="0" xfId="0" applyFont="1" applyBorder="1" applyAlignment="1" applyProtection="1">
      <alignment horizontal="center" vertical="center"/>
      <protection hidden="1"/>
    </xf>
    <xf numFmtId="0" fontId="30" fillId="5" borderId="0" xfId="0" applyFont="1" applyFill="1" applyBorder="1" applyAlignment="1" applyProtection="1">
      <alignment horizontal="center" vertical="center" wrapText="1"/>
      <protection hidden="1"/>
    </xf>
    <xf numFmtId="0" fontId="31" fillId="5" borderId="0" xfId="0" applyFont="1" applyFill="1" applyBorder="1" applyAlignment="1" applyProtection="1">
      <alignment horizontal="center" vertical="center" wrapText="1"/>
      <protection hidden="1"/>
    </xf>
    <xf numFmtId="1" fontId="39" fillId="7" borderId="0" xfId="2" applyNumberFormat="1" applyFont="1" applyFill="1" applyBorder="1" applyAlignment="1" applyProtection="1">
      <alignment horizontal="center" vertical="center"/>
      <protection hidden="1"/>
    </xf>
    <xf numFmtId="0" fontId="37" fillId="7" borderId="0" xfId="0" applyFont="1" applyFill="1" applyBorder="1" applyAlignment="1" applyProtection="1">
      <alignment horizontal="center" vertical="center"/>
      <protection hidden="1"/>
    </xf>
    <xf numFmtId="1" fontId="39" fillId="6" borderId="0" xfId="2" applyNumberFormat="1" applyFont="1" applyFill="1" applyBorder="1" applyAlignment="1" applyProtection="1">
      <alignment horizontal="center" vertical="center"/>
      <protection hidden="1"/>
    </xf>
    <xf numFmtId="9" fontId="42" fillId="6" borderId="0" xfId="4" applyFont="1" applyFill="1" applyBorder="1" applyAlignment="1" applyProtection="1">
      <alignment horizontal="center" vertical="center"/>
      <protection hidden="1"/>
    </xf>
    <xf numFmtId="1" fontId="67" fillId="6" borderId="0" xfId="2" applyNumberFormat="1" applyFont="1" applyFill="1" applyBorder="1" applyAlignment="1" applyProtection="1">
      <alignment horizontal="center" vertical="center"/>
      <protection hidden="1"/>
    </xf>
    <xf numFmtId="9" fontId="67" fillId="6" borderId="0" xfId="4" applyFont="1" applyFill="1" applyBorder="1" applyAlignment="1" applyProtection="1">
      <alignment horizontal="center" vertical="center"/>
      <protection hidden="1"/>
    </xf>
    <xf numFmtId="1" fontId="39" fillId="8" borderId="0" xfId="2" applyNumberFormat="1" applyFont="1" applyFill="1" applyBorder="1" applyAlignment="1" applyProtection="1">
      <alignment horizontal="center" vertical="center"/>
      <protection hidden="1"/>
    </xf>
    <xf numFmtId="165" fontId="29" fillId="8" borderId="0" xfId="6" applyNumberFormat="1" applyFont="1" applyFill="1" applyBorder="1" applyAlignment="1" applyProtection="1">
      <alignment horizontal="center" vertical="center"/>
      <protection hidden="1"/>
    </xf>
    <xf numFmtId="9" fontId="42" fillId="8" borderId="0" xfId="4" applyFont="1" applyFill="1" applyBorder="1" applyAlignment="1" applyProtection="1">
      <alignment horizontal="center" vertical="center"/>
      <protection hidden="1"/>
    </xf>
    <xf numFmtId="1" fontId="71" fillId="12" borderId="21" xfId="2" applyNumberFormat="1" applyFont="1" applyFill="1" applyBorder="1" applyAlignment="1" applyProtection="1">
      <alignment horizontal="center" vertical="center"/>
      <protection hidden="1"/>
    </xf>
    <xf numFmtId="9" fontId="71" fillId="12" borderId="23" xfId="4" applyFont="1" applyFill="1" applyBorder="1" applyAlignment="1" applyProtection="1">
      <alignment horizontal="center" vertical="center"/>
      <protection hidden="1"/>
    </xf>
    <xf numFmtId="0" fontId="0" fillId="0" borderId="0" xfId="0" applyBorder="1" applyAlignment="1" applyProtection="1">
      <alignment horizontal="center" vertical="center"/>
      <protection hidden="1"/>
    </xf>
    <xf numFmtId="0" fontId="52" fillId="0" borderId="0" xfId="0" quotePrefix="1" applyFont="1" applyBorder="1"/>
    <xf numFmtId="0" fontId="80" fillId="5" borderId="0" xfId="0" applyFont="1" applyFill="1" applyBorder="1" applyAlignment="1" applyProtection="1">
      <alignment horizontal="center" vertical="center" wrapText="1"/>
      <protection hidden="1"/>
    </xf>
    <xf numFmtId="0" fontId="81" fillId="5" borderId="0" xfId="0" applyFont="1" applyFill="1" applyBorder="1" applyAlignment="1" applyProtection="1">
      <alignment horizontal="center" vertical="center" wrapText="1"/>
      <protection hidden="1"/>
    </xf>
    <xf numFmtId="0" fontId="82" fillId="5" borderId="0" xfId="0" applyFont="1" applyFill="1" applyBorder="1" applyAlignment="1" applyProtection="1">
      <alignment horizontal="center" vertical="center" wrapText="1"/>
      <protection hidden="1"/>
    </xf>
    <xf numFmtId="0" fontId="82" fillId="5" borderId="0" xfId="0" applyFont="1" applyFill="1" applyAlignment="1" applyProtection="1">
      <alignment horizontal="center" vertical="center"/>
      <protection hidden="1"/>
    </xf>
    <xf numFmtId="0" fontId="80" fillId="5" borderId="0" xfId="1" applyFont="1" applyFill="1" applyBorder="1" applyAlignment="1" applyProtection="1">
      <alignment horizontal="center" vertical="center"/>
      <protection hidden="1"/>
    </xf>
    <xf numFmtId="0" fontId="82" fillId="5" borderId="0" xfId="0" applyFont="1" applyFill="1" applyBorder="1" applyAlignment="1" applyProtection="1">
      <alignment horizontal="center" vertical="center"/>
      <protection hidden="1"/>
    </xf>
    <xf numFmtId="0" fontId="82" fillId="5" borderId="0" xfId="3" applyFont="1" applyFill="1" applyBorder="1" applyAlignment="1" applyProtection="1">
      <alignment horizontal="center" vertical="center"/>
      <protection hidden="1"/>
    </xf>
    <xf numFmtId="0" fontId="82" fillId="5" borderId="0" xfId="3" applyFont="1" applyFill="1" applyBorder="1" applyAlignment="1" applyProtection="1">
      <alignment horizontal="center" vertical="center" wrapText="1"/>
      <protection hidden="1"/>
    </xf>
    <xf numFmtId="1" fontId="82" fillId="5" borderId="0" xfId="3" applyNumberFormat="1" applyFont="1" applyFill="1" applyBorder="1" applyAlignment="1" applyProtection="1">
      <alignment horizontal="center" vertical="center"/>
      <protection hidden="1"/>
    </xf>
    <xf numFmtId="1" fontId="80" fillId="5" borderId="0" xfId="2" applyNumberFormat="1" applyFont="1" applyFill="1" applyBorder="1" applyAlignment="1" applyProtection="1">
      <alignment horizontal="center" vertical="center"/>
      <protection hidden="1"/>
    </xf>
    <xf numFmtId="1" fontId="80" fillId="5" borderId="0" xfId="1" applyNumberFormat="1" applyFont="1" applyFill="1" applyBorder="1" applyAlignment="1" applyProtection="1">
      <alignment horizontal="center" vertical="center"/>
      <protection hidden="1"/>
    </xf>
    <xf numFmtId="0" fontId="82" fillId="5" borderId="0" xfId="1" applyFont="1" applyFill="1" applyBorder="1" applyAlignment="1" applyProtection="1">
      <alignment horizontal="center" vertical="center"/>
      <protection hidden="1"/>
    </xf>
    <xf numFmtId="1" fontId="82" fillId="5" borderId="0" xfId="0" applyNumberFormat="1" applyFont="1" applyFill="1" applyAlignment="1" applyProtection="1">
      <alignment horizontal="center" vertical="center"/>
      <protection hidden="1"/>
    </xf>
    <xf numFmtId="0" fontId="82" fillId="5" borderId="0" xfId="0" applyFont="1" applyFill="1" applyBorder="1" applyAlignment="1" applyProtection="1">
      <alignment horizontal="center"/>
      <protection hidden="1"/>
    </xf>
    <xf numFmtId="1" fontId="82" fillId="5" borderId="0" xfId="0" applyNumberFormat="1" applyFont="1" applyFill="1" applyBorder="1" applyAlignment="1" applyProtection="1">
      <alignment horizontal="center" vertical="center"/>
      <protection hidden="1"/>
    </xf>
    <xf numFmtId="1" fontId="80" fillId="5" borderId="0" xfId="2" applyNumberFormat="1" applyFont="1" applyFill="1" applyBorder="1" applyAlignment="1" applyProtection="1">
      <alignment horizontal="center" vertical="center" wrapText="1"/>
      <protection hidden="1"/>
    </xf>
    <xf numFmtId="0" fontId="80" fillId="5" borderId="0" xfId="0" applyFont="1" applyFill="1" applyBorder="1" applyAlignment="1" applyProtection="1">
      <alignment horizontal="center" vertical="center"/>
      <protection hidden="1"/>
    </xf>
    <xf numFmtId="0" fontId="82" fillId="5" borderId="0" xfId="0" applyFont="1" applyFill="1" applyBorder="1" applyAlignment="1" applyProtection="1">
      <alignment horizontal="center" wrapText="1"/>
      <protection hidden="1"/>
    </xf>
    <xf numFmtId="2" fontId="82" fillId="5" borderId="0" xfId="0" applyNumberFormat="1" applyFont="1" applyFill="1" applyBorder="1" applyAlignment="1" applyProtection="1">
      <alignment horizontal="center" vertical="center"/>
      <protection hidden="1"/>
    </xf>
    <xf numFmtId="0" fontId="26" fillId="5" borderId="0" xfId="0" applyFont="1" applyFill="1" applyAlignment="1">
      <alignment horizontal="center" vertical="center"/>
    </xf>
    <xf numFmtId="0" fontId="0" fillId="5" borderId="0" xfId="0" applyFont="1" applyFill="1" applyAlignment="1">
      <alignment horizontal="center" vertical="center"/>
    </xf>
    <xf numFmtId="0" fontId="64" fillId="6" borderId="0" xfId="0" applyFont="1" applyFill="1" applyAlignment="1">
      <alignment horizontal="left" wrapText="1"/>
    </xf>
    <xf numFmtId="0" fontId="36" fillId="5" borderId="14" xfId="0" applyFont="1" applyFill="1" applyBorder="1" applyAlignment="1">
      <alignment horizontal="center" vertical="center" wrapText="1"/>
    </xf>
    <xf numFmtId="0" fontId="36" fillId="5" borderId="15" xfId="0" applyFont="1" applyFill="1" applyBorder="1" applyAlignment="1">
      <alignment horizontal="center" vertical="center" wrapText="1"/>
    </xf>
    <xf numFmtId="0" fontId="36" fillId="5" borderId="16" xfId="0" applyFont="1" applyFill="1" applyBorder="1" applyAlignment="1">
      <alignment horizontal="center" vertical="center" wrapText="1"/>
    </xf>
    <xf numFmtId="0" fontId="65" fillId="5" borderId="9" xfId="0" applyFont="1" applyFill="1" applyBorder="1" applyAlignment="1">
      <alignment horizontal="left" vertical="center" wrapText="1"/>
    </xf>
    <xf numFmtId="0" fontId="66" fillId="5" borderId="0" xfId="0" applyFont="1" applyFill="1" applyAlignment="1">
      <alignment horizontal="center" vertical="center" wrapText="1"/>
    </xf>
    <xf numFmtId="0" fontId="66" fillId="5" borderId="9" xfId="0" applyFont="1" applyFill="1" applyBorder="1" applyAlignment="1">
      <alignment horizontal="center" vertical="center" wrapText="1"/>
    </xf>
    <xf numFmtId="0" fontId="29" fillId="5" borderId="6" xfId="0" applyFont="1" applyFill="1" applyBorder="1" applyAlignment="1">
      <alignment horizontal="center" vertical="center" wrapText="1"/>
    </xf>
    <xf numFmtId="0" fontId="29" fillId="5" borderId="7" xfId="0" applyFont="1" applyFill="1" applyBorder="1" applyAlignment="1">
      <alignment horizontal="center" vertical="center" wrapText="1"/>
    </xf>
    <xf numFmtId="0" fontId="29" fillId="5" borderId="8" xfId="0" applyFont="1" applyFill="1" applyBorder="1" applyAlignment="1">
      <alignment horizontal="center" vertical="center" wrapText="1"/>
    </xf>
    <xf numFmtId="0" fontId="32" fillId="5" borderId="6" xfId="0" applyFont="1" applyFill="1" applyBorder="1" applyAlignment="1">
      <alignment horizontal="center" vertical="center" textRotation="90" wrapText="1"/>
    </xf>
    <xf numFmtId="0" fontId="33" fillId="5" borderId="7" xfId="0" applyFont="1" applyFill="1" applyBorder="1" applyAlignment="1">
      <alignment horizontal="center" vertical="center" textRotation="90" wrapText="1"/>
    </xf>
    <xf numFmtId="0" fontId="34" fillId="5" borderId="7" xfId="0" applyFont="1" applyFill="1" applyBorder="1" applyAlignment="1">
      <alignment horizontal="center" vertical="center" textRotation="90" wrapText="1"/>
    </xf>
    <xf numFmtId="0" fontId="35" fillId="5" borderId="12" xfId="0" applyFont="1" applyFill="1" applyBorder="1" applyAlignment="1">
      <alignment horizontal="center" vertical="center" textRotation="90" wrapText="1"/>
    </xf>
    <xf numFmtId="0" fontId="82" fillId="5" borderId="0" xfId="0" applyFont="1" applyFill="1" applyBorder="1" applyAlignment="1" applyProtection="1">
      <alignment horizontal="center" vertical="center" wrapText="1"/>
      <protection hidden="1"/>
    </xf>
    <xf numFmtId="0" fontId="80" fillId="5" borderId="0" xfId="0" applyFont="1" applyFill="1" applyBorder="1" applyAlignment="1" applyProtection="1">
      <alignment horizontal="center" vertical="center" wrapText="1"/>
      <protection hidden="1"/>
    </xf>
    <xf numFmtId="0" fontId="81" fillId="5" borderId="0" xfId="0" applyFont="1" applyFill="1" applyBorder="1" applyAlignment="1" applyProtection="1">
      <alignment horizontal="center" vertical="center" wrapText="1"/>
      <protection hidden="1"/>
    </xf>
    <xf numFmtId="0" fontId="71" fillId="12" borderId="21" xfId="0" applyFont="1" applyFill="1" applyBorder="1" applyAlignment="1">
      <alignment horizontal="center" vertical="center" wrapText="1"/>
    </xf>
    <xf numFmtId="0" fontId="71" fillId="12" borderId="22" xfId="0" applyFont="1" applyFill="1" applyBorder="1" applyAlignment="1">
      <alignment horizontal="center" vertical="center" wrapText="1"/>
    </xf>
    <xf numFmtId="0" fontId="59" fillId="6" borderId="0" xfId="0" applyFont="1" applyFill="1" applyAlignment="1">
      <alignment horizontal="center" vertical="center" wrapText="1"/>
    </xf>
    <xf numFmtId="0" fontId="62" fillId="5" borderId="0" xfId="0" applyFont="1" applyFill="1" applyBorder="1" applyAlignment="1">
      <alignment horizontal="center" vertical="center" wrapText="1"/>
    </xf>
    <xf numFmtId="0" fontId="30" fillId="5" borderId="0" xfId="0" applyFont="1" applyFill="1" applyBorder="1" applyAlignment="1" applyProtection="1">
      <alignment horizontal="center" vertical="center" wrapText="1"/>
      <protection hidden="1"/>
    </xf>
    <xf numFmtId="0" fontId="31" fillId="5" borderId="0" xfId="0" applyFont="1" applyFill="1" applyBorder="1" applyAlignment="1" applyProtection="1">
      <alignment horizontal="center" vertical="center" wrapText="1"/>
      <protection hidden="1"/>
    </xf>
    <xf numFmtId="0" fontId="53" fillId="5" borderId="14" xfId="0" applyFont="1" applyFill="1" applyBorder="1" applyAlignment="1">
      <alignment horizontal="center" vertical="center" wrapText="1"/>
    </xf>
    <xf numFmtId="0" fontId="53" fillId="5" borderId="15" xfId="0" applyFont="1" applyFill="1" applyBorder="1" applyAlignment="1">
      <alignment horizontal="center" vertical="center" wrapText="1"/>
    </xf>
    <xf numFmtId="0" fontId="29" fillId="5" borderId="0" xfId="0" applyFont="1" applyFill="1" applyBorder="1" applyAlignment="1">
      <alignment horizontal="center" vertical="center" textRotation="90" wrapText="1"/>
    </xf>
    <xf numFmtId="0" fontId="50" fillId="0" borderId="0" xfId="0" applyFont="1" applyAlignment="1">
      <alignment horizontal="center" vertical="center"/>
    </xf>
    <xf numFmtId="0" fontId="0" fillId="0" borderId="0" xfId="0" applyAlignment="1">
      <alignment horizontal="center" vertical="top" wrapText="1"/>
    </xf>
    <xf numFmtId="0" fontId="49" fillId="0" borderId="0" xfId="0" applyFont="1"/>
    <xf numFmtId="0" fontId="50" fillId="0" borderId="0" xfId="0" applyFont="1" applyAlignment="1">
      <alignment horizontal="right" vertical="center"/>
    </xf>
  </cellXfs>
  <cellStyles count="8">
    <cellStyle name="Berekening" xfId="3" builtinId="22"/>
    <cellStyle name="Hyperlink" xfId="5" builtinId="8"/>
    <cellStyle name="Invoer" xfId="1" builtinId="20"/>
    <cellStyle name="Komma" xfId="6" builtinId="3"/>
    <cellStyle name="Procent" xfId="4" builtinId="5"/>
    <cellStyle name="Standaard" xfId="0" builtinId="0"/>
    <cellStyle name="Standaard 2" xfId="7"/>
    <cellStyle name="Uitvoer" xfId="2" builtinId="21"/>
  </cellStyles>
  <dxfs count="17">
    <dxf>
      <font>
        <b/>
        <i val="0"/>
        <strike val="0"/>
        <condense val="0"/>
        <extend val="0"/>
        <outline val="0"/>
        <shadow val="0"/>
        <u val="none"/>
        <vertAlign val="baseline"/>
        <sz val="11"/>
        <color theme="0"/>
        <name val="Calibri"/>
        <scheme val="none"/>
      </font>
      <fill>
        <patternFill patternType="solid">
          <fgColor theme="4"/>
          <bgColor theme="4"/>
        </patternFill>
      </fill>
      <alignment horizontal="general" vertical="center" textRotation="0" wrapText="1" indent="0" justifyLastLine="0" shrinkToFit="0" readingOrder="0"/>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ont>
        <b val="0"/>
        <i val="0"/>
        <strike val="0"/>
        <condense val="0"/>
        <extend val="0"/>
        <outline val="0"/>
        <shadow val="0"/>
        <u val="none"/>
        <vertAlign val="baseline"/>
        <sz val="11"/>
        <color theme="1"/>
        <name val="Calibri"/>
        <scheme val="none"/>
      </font>
      <alignment horizontal="general" vertical="center" textRotation="0" wrapText="0" indent="0" justifyLastLine="0" shrinkToFit="0" readingOrder="0"/>
    </dxf>
    <dxf>
      <fill>
        <patternFill patternType="none">
          <fgColor indexed="64"/>
          <bgColor indexed="65"/>
        </patternFill>
      </fill>
    </dxf>
    <dxf>
      <font>
        <b/>
        <i val="0"/>
        <strike val="0"/>
        <condense val="0"/>
        <extend val="0"/>
        <outline val="0"/>
        <shadow val="0"/>
        <u val="none"/>
        <vertAlign val="baseline"/>
        <sz val="11"/>
        <color theme="0"/>
        <name val="Calibri"/>
        <scheme val="none"/>
      </font>
      <fill>
        <patternFill patternType="solid">
          <fgColor theme="4"/>
          <bgColor theme="4"/>
        </patternFill>
      </fill>
      <alignment horizontal="general" vertical="center" textRotation="0" wrapText="1" indent="0" justifyLastLine="0" shrinkToFit="0" readingOrder="0"/>
    </dxf>
    <dxf>
      <font>
        <i/>
      </font>
    </dxf>
    <dxf>
      <numFmt numFmtId="0" formatCode="General"/>
    </dxf>
    <dxf>
      <font>
        <color rgb="FFC00000"/>
      </font>
    </dxf>
    <dxf>
      <font>
        <color theme="9" tint="-0.499984740745262"/>
      </font>
    </dxf>
    <dxf>
      <font>
        <color rgb="FFFF0000"/>
      </font>
    </dxf>
    <dxf>
      <font>
        <color rgb="FF9C0006"/>
      </font>
      <fill>
        <patternFill>
          <bgColor rgb="FFFFC7CE"/>
        </patternFill>
      </fill>
    </dxf>
    <dxf>
      <font>
        <color rgb="FF9C0006"/>
      </font>
      <fill>
        <patternFill>
          <bgColor rgb="FFFFC7CE"/>
        </patternFill>
      </fill>
    </dxf>
    <dxf>
      <font>
        <color rgb="FFFF0000"/>
      </font>
    </dxf>
    <dxf>
      <font>
        <color rgb="FF9C0006"/>
      </font>
      <fill>
        <patternFill>
          <bgColor rgb="FFFFC7CE"/>
        </patternFill>
      </fill>
    </dxf>
  </dxfs>
  <tableStyles count="0" defaultTableStyle="TableStyleMedium2" defaultPivotStyle="PivotStyleLight16"/>
  <colors>
    <mruColors>
      <color rgb="FFFBFBFF"/>
      <color rgb="FFDCF6F8"/>
      <color rgb="FFF7F9D3"/>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theme" Target="theme/theme1.xml"/><Relationship Id="rId7" Type="http://schemas.openxmlformats.org/officeDocument/2006/relationships/powerPivotData" Target="model/item.data"/><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connections" Target="connections.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toolbox!$H$7</c:f>
              <c:strCache>
                <c:ptCount val="1"/>
                <c:pt idx="0">
                  <c:v>italiaans raaigras</c:v>
                </c:pt>
              </c:strCache>
            </c:strRef>
          </c:tx>
          <c:spPr>
            <a:solidFill>
              <a:schemeClr val="accent1"/>
            </a:solidFill>
            <a:ln>
              <a:noFill/>
            </a:ln>
            <a:effectLst/>
          </c:spPr>
          <c:invertIfNegative val="0"/>
          <c:cat>
            <c:strLit>
              <c:ptCount val="2"/>
              <c:pt idx="0">
                <c:v>jaarlijkse afbraak EOC</c:v>
              </c:pt>
              <c:pt idx="1">
                <c:v>aanvoer EOC</c:v>
              </c:pt>
            </c:strLit>
          </c:cat>
          <c:val>
            <c:numRef>
              <c:f>toolbox!$T$7:$U$7</c:f>
              <c:numCache>
                <c:formatCode>General</c:formatCode>
                <c:ptCount val="2"/>
                <c:pt idx="1">
                  <c:v>930</c:v>
                </c:pt>
              </c:numCache>
            </c:numRef>
          </c:val>
          <c:extLst>
            <c:ext xmlns:c16="http://schemas.microsoft.com/office/drawing/2014/chart" uri="{C3380CC4-5D6E-409C-BE32-E72D297353CC}">
              <c16:uniqueId val="{00000000-E14D-4A22-A2B9-105399148F40}"/>
            </c:ext>
          </c:extLst>
        </c:ser>
        <c:ser>
          <c:idx val="1"/>
          <c:order val="1"/>
          <c:tx>
            <c:strRef>
              <c:f>toolbox!$H$8</c:f>
              <c:strCache>
                <c:ptCount val="1"/>
                <c:pt idx="0">
                  <c:v>maïs, snijmaïs  </c:v>
                </c:pt>
              </c:strCache>
            </c:strRef>
          </c:tx>
          <c:spPr>
            <a:solidFill>
              <a:schemeClr val="accent2"/>
            </a:solidFill>
            <a:ln>
              <a:noFill/>
            </a:ln>
            <a:effectLst/>
          </c:spPr>
          <c:invertIfNegative val="0"/>
          <c:cat>
            <c:strLit>
              <c:ptCount val="2"/>
              <c:pt idx="0">
                <c:v>jaarlijkse afbraak EOC</c:v>
              </c:pt>
              <c:pt idx="1">
                <c:v>aanvoer EOC</c:v>
              </c:pt>
            </c:strLit>
          </c:cat>
          <c:val>
            <c:numRef>
              <c:f>toolbox!$T$8:$U$8</c:f>
              <c:numCache>
                <c:formatCode>General</c:formatCode>
                <c:ptCount val="2"/>
                <c:pt idx="1">
                  <c:v>640</c:v>
                </c:pt>
              </c:numCache>
            </c:numRef>
          </c:val>
          <c:extLst>
            <c:ext xmlns:c16="http://schemas.microsoft.com/office/drawing/2014/chart" uri="{C3380CC4-5D6E-409C-BE32-E72D297353CC}">
              <c16:uniqueId val="{00000001-E14D-4A22-A2B9-105399148F40}"/>
            </c:ext>
          </c:extLst>
        </c:ser>
        <c:ser>
          <c:idx val="2"/>
          <c:order val="2"/>
          <c:tx>
            <c:strRef>
              <c:f>toolbox!$H$9</c:f>
              <c:strCache>
                <c:ptCount val="1"/>
                <c:pt idx="0">
                  <c:v>GFT compost</c:v>
                </c:pt>
              </c:strCache>
            </c:strRef>
          </c:tx>
          <c:spPr>
            <a:solidFill>
              <a:schemeClr val="accent3"/>
            </a:solidFill>
            <a:ln>
              <a:noFill/>
            </a:ln>
            <a:effectLst/>
          </c:spPr>
          <c:invertIfNegative val="0"/>
          <c:cat>
            <c:strLit>
              <c:ptCount val="2"/>
              <c:pt idx="0">
                <c:v>jaarlijkse afbraak EOC</c:v>
              </c:pt>
              <c:pt idx="1">
                <c:v>aanvoer EOC</c:v>
              </c:pt>
            </c:strLit>
          </c:cat>
          <c:val>
            <c:numRef>
              <c:f>toolbox!$T$9:$U$9</c:f>
              <c:numCache>
                <c:formatCode>General</c:formatCode>
                <c:ptCount val="2"/>
                <c:pt idx="1">
                  <c:v>0</c:v>
                </c:pt>
              </c:numCache>
            </c:numRef>
          </c:val>
          <c:extLst>
            <c:ext xmlns:c16="http://schemas.microsoft.com/office/drawing/2014/chart" uri="{C3380CC4-5D6E-409C-BE32-E72D297353CC}">
              <c16:uniqueId val="{00000002-E14D-4A22-A2B9-105399148F40}"/>
            </c:ext>
          </c:extLst>
        </c:ser>
        <c:ser>
          <c:idx val="3"/>
          <c:order val="3"/>
          <c:tx>
            <c:strRef>
              <c:f>toolbox!$H$10</c:f>
              <c:strCache>
                <c:ptCount val="1"/>
                <c:pt idx="0">
                  <c:v>kippendrijfmest</c:v>
                </c:pt>
              </c:strCache>
            </c:strRef>
          </c:tx>
          <c:spPr>
            <a:solidFill>
              <a:schemeClr val="accent4"/>
            </a:solidFill>
            <a:ln>
              <a:noFill/>
            </a:ln>
            <a:effectLst/>
          </c:spPr>
          <c:invertIfNegative val="0"/>
          <c:cat>
            <c:strLit>
              <c:ptCount val="2"/>
              <c:pt idx="0">
                <c:v>jaarlijkse afbraak EOC</c:v>
              </c:pt>
              <c:pt idx="1">
                <c:v>aanvoer EOC</c:v>
              </c:pt>
            </c:strLit>
          </c:cat>
          <c:val>
            <c:numRef>
              <c:f>toolbox!$T$10:$U$10</c:f>
              <c:numCache>
                <c:formatCode>General</c:formatCode>
                <c:ptCount val="2"/>
                <c:pt idx="1">
                  <c:v>0</c:v>
                </c:pt>
              </c:numCache>
            </c:numRef>
          </c:val>
          <c:extLst>
            <c:ext xmlns:c16="http://schemas.microsoft.com/office/drawing/2014/chart" uri="{C3380CC4-5D6E-409C-BE32-E72D297353CC}">
              <c16:uniqueId val="{00000003-E14D-4A22-A2B9-105399148F40}"/>
            </c:ext>
          </c:extLst>
        </c:ser>
        <c:ser>
          <c:idx val="4"/>
          <c:order val="4"/>
          <c:tx>
            <c:v>jaarlijkse afbraak EOC</c:v>
          </c:tx>
          <c:spPr>
            <a:solidFill>
              <a:schemeClr val="accent5"/>
            </a:solidFill>
            <a:ln>
              <a:noFill/>
            </a:ln>
            <a:effectLst/>
          </c:spPr>
          <c:invertIfNegative val="0"/>
          <c:val>
            <c:numRef>
              <c:f>toolbox!$T$12</c:f>
              <c:numCache>
                <c:formatCode>General</c:formatCode>
                <c:ptCount val="1"/>
                <c:pt idx="0">
                  <c:v>1343.9999999999998</c:v>
                </c:pt>
              </c:numCache>
            </c:numRef>
          </c:val>
          <c:extLst>
            <c:ext xmlns:c16="http://schemas.microsoft.com/office/drawing/2014/chart" uri="{C3380CC4-5D6E-409C-BE32-E72D297353CC}">
              <c16:uniqueId val="{00000000-C979-4B5E-953C-925897CE4882}"/>
            </c:ext>
          </c:extLst>
        </c:ser>
        <c:dLbls>
          <c:showLegendKey val="0"/>
          <c:showVal val="0"/>
          <c:showCatName val="0"/>
          <c:showSerName val="0"/>
          <c:showPercent val="0"/>
          <c:showBubbleSize val="0"/>
        </c:dLbls>
        <c:gapWidth val="150"/>
        <c:overlap val="100"/>
        <c:axId val="1695873583"/>
        <c:axId val="1695873999"/>
      </c:barChart>
      <c:catAx>
        <c:axId val="16958735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BE"/>
          </a:p>
        </c:txPr>
        <c:crossAx val="1695873999"/>
        <c:crosses val="autoZero"/>
        <c:auto val="1"/>
        <c:lblAlgn val="ctr"/>
        <c:lblOffset val="100"/>
        <c:noMultiLvlLbl val="0"/>
      </c:catAx>
      <c:valAx>
        <c:axId val="169587399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BE"/>
                  <a:t>kg</a:t>
                </a:r>
                <a:r>
                  <a:rPr lang="nl-BE" baseline="0"/>
                  <a:t> EOC/ha</a:t>
                </a:r>
                <a:endParaRPr lang="nl-BE"/>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B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BE"/>
          </a:p>
        </c:txPr>
        <c:crossAx val="1695873583"/>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BE"/>
        </a:p>
      </c:txPr>
    </c:legend>
    <c:plotVisOnly val="1"/>
    <c:dispBlanksAs val="gap"/>
    <c:showDLblsOverMax val="0"/>
  </c:chart>
  <c:spPr>
    <a:solidFill>
      <a:schemeClr val="accent4">
        <a:lumMod val="20000"/>
        <a:lumOff val="80000"/>
      </a:schemeClr>
    </a:solidFill>
    <a:ln w="9525" cap="flat" cmpd="sng" algn="ctr">
      <a:solidFill>
        <a:schemeClr val="tx1">
          <a:lumMod val="15000"/>
          <a:lumOff val="85000"/>
        </a:schemeClr>
      </a:solidFill>
      <a:round/>
    </a:ln>
    <a:effectLst/>
  </c:spPr>
  <c:txPr>
    <a:bodyPr/>
    <a:lstStyle/>
    <a:p>
      <a:pPr>
        <a:defRPr/>
      </a:pPr>
      <a:endParaRPr lang="nl-B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A$6" lockText="1" noThreeD="1"/>
</file>

<file path=xl/ctrlProps/ctrlProp10.xml><?xml version="1.0" encoding="utf-8"?>
<formControlPr xmlns="http://schemas.microsoft.com/office/spreadsheetml/2009/9/main" objectType="CheckBox" fmlaLink="$A$17" lockText="1" noThreeD="1"/>
</file>

<file path=xl/ctrlProps/ctrlProp2.xml><?xml version="1.0" encoding="utf-8"?>
<formControlPr xmlns="http://schemas.microsoft.com/office/spreadsheetml/2009/9/main" objectType="CheckBox" checked="Checked" fmlaLink="$A$7" lockText="1" noThreeD="1"/>
</file>

<file path=xl/ctrlProps/ctrlProp3.xml><?xml version="1.0" encoding="utf-8"?>
<formControlPr xmlns="http://schemas.microsoft.com/office/spreadsheetml/2009/9/main" objectType="CheckBox" checked="Checked" fmlaLink="$A$8" lockText="1" noThreeD="1"/>
</file>

<file path=xl/ctrlProps/ctrlProp4.xml><?xml version="1.0" encoding="utf-8"?>
<formControlPr xmlns="http://schemas.microsoft.com/office/spreadsheetml/2009/9/main" objectType="CheckBox" fmlaLink="$A$9" lockText="1" noThreeD="1"/>
</file>

<file path=xl/ctrlProps/ctrlProp5.xml><?xml version="1.0" encoding="utf-8"?>
<formControlPr xmlns="http://schemas.microsoft.com/office/spreadsheetml/2009/9/main" objectType="CheckBox" fmlaLink="$A$10" lockText="1" noThreeD="1"/>
</file>

<file path=xl/ctrlProps/ctrlProp6.xml><?xml version="1.0" encoding="utf-8"?>
<formControlPr xmlns="http://schemas.microsoft.com/office/spreadsheetml/2009/9/main" objectType="CheckBox" fmlaLink="$A$13" lockText="1" noThreeD="1"/>
</file>

<file path=xl/ctrlProps/ctrlProp7.xml><?xml version="1.0" encoding="utf-8"?>
<formControlPr xmlns="http://schemas.microsoft.com/office/spreadsheetml/2009/9/main" objectType="CheckBox" fmlaLink="$A$14" lockText="1" noThreeD="1"/>
</file>

<file path=xl/ctrlProps/ctrlProp8.xml><?xml version="1.0" encoding="utf-8"?>
<formControlPr xmlns="http://schemas.microsoft.com/office/spreadsheetml/2009/9/main" objectType="CheckBox" fmlaLink="$A$15" lockText="1" noThreeD="1"/>
</file>

<file path=xl/ctrlProps/ctrlProp9.xml><?xml version="1.0" encoding="utf-8"?>
<formControlPr xmlns="http://schemas.microsoft.com/office/spreadsheetml/2009/9/main" objectType="CheckBox" fmlaLink="$A$16"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xdr:colOff>
          <xdr:row>5</xdr:row>
          <xdr:rowOff>22860</xdr:rowOff>
        </xdr:from>
        <xdr:to>
          <xdr:col>1</xdr:col>
          <xdr:colOff>1379220</xdr:colOff>
          <xdr:row>5</xdr:row>
          <xdr:rowOff>373380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800080" mc:Ignorable="a14" a14:legacySpreadsheetColorIndex="20"/>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 BEKALKEN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6</xdr:row>
          <xdr:rowOff>22860</xdr:rowOff>
        </xdr:from>
        <xdr:to>
          <xdr:col>1</xdr:col>
          <xdr:colOff>1379220</xdr:colOff>
          <xdr:row>6</xdr:row>
          <xdr:rowOff>411480</xdr:rowOff>
        </xdr:to>
        <xdr:sp macro="" textlink="">
          <xdr:nvSpPr>
            <xdr:cNvPr id="4106" name="Check Box 10" descr="GROENBEMESTER"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alpha val="50000"/>
                    </a:srgbClr>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GROENBEDEKKER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7</xdr:row>
          <xdr:rowOff>22860</xdr:rowOff>
        </xdr:from>
        <xdr:to>
          <xdr:col>1</xdr:col>
          <xdr:colOff>1379220</xdr:colOff>
          <xdr:row>7</xdr:row>
          <xdr:rowOff>373380</xdr:rowOff>
        </xdr:to>
        <xdr:sp macro="" textlink="">
          <xdr:nvSpPr>
            <xdr:cNvPr id="4110" name="Check Box 14" descr="Oogstrest teelt"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 OOGSTRESTEN TEELT</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38100</xdr:rowOff>
        </xdr:from>
        <xdr:to>
          <xdr:col>1</xdr:col>
          <xdr:colOff>1935480</xdr:colOff>
          <xdr:row>8</xdr:row>
          <xdr:rowOff>365760</xdr:rowOff>
        </xdr:to>
        <xdr:sp macro="" textlink="">
          <xdr:nvSpPr>
            <xdr:cNvPr id="4113" name="Check Box 17" descr="C-rijk materiaal"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 C-RIJK MATERIAAL (C/N&gt;25)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9</xdr:row>
          <xdr:rowOff>30480</xdr:rowOff>
        </xdr:from>
        <xdr:to>
          <xdr:col>1</xdr:col>
          <xdr:colOff>2164080</xdr:colOff>
          <xdr:row>9</xdr:row>
          <xdr:rowOff>342900</xdr:rowOff>
        </xdr:to>
        <xdr:sp macro="" textlink="">
          <xdr:nvSpPr>
            <xdr:cNvPr id="4116" name="Check Box 20" descr="C-rijke bemesting"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 NUTRIENTENRIJK MATERIAAL (C/N&lt;25)</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12</xdr:row>
          <xdr:rowOff>30480</xdr:rowOff>
        </xdr:from>
        <xdr:to>
          <xdr:col>1</xdr:col>
          <xdr:colOff>1943100</xdr:colOff>
          <xdr:row>12</xdr:row>
          <xdr:rowOff>342900</xdr:rowOff>
        </xdr:to>
        <xdr:sp macro="" textlink="">
          <xdr:nvSpPr>
            <xdr:cNvPr id="4121" name="Check Box 25" descr="C-rijke bemesting"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 DIEPWOELEN 35cm</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13</xdr:row>
          <xdr:rowOff>30480</xdr:rowOff>
        </xdr:from>
        <xdr:to>
          <xdr:col>1</xdr:col>
          <xdr:colOff>1943100</xdr:colOff>
          <xdr:row>13</xdr:row>
          <xdr:rowOff>342900</xdr:rowOff>
        </xdr:to>
        <xdr:sp macro="" textlink="">
          <xdr:nvSpPr>
            <xdr:cNvPr id="4125" name="Check Box 29" descr="drainage"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 DRAINAGE</a:t>
              </a:r>
            </a:p>
          </xdr:txBody>
        </xdr:sp>
        <xdr:clientData fLocksWithSheet="0"/>
      </xdr:twoCellAnchor>
    </mc:Choice>
    <mc:Fallback/>
  </mc:AlternateContent>
  <xdr:twoCellAnchor>
    <xdr:from>
      <xdr:col>12</xdr:col>
      <xdr:colOff>7332</xdr:colOff>
      <xdr:row>6</xdr:row>
      <xdr:rowOff>59491</xdr:rowOff>
    </xdr:from>
    <xdr:to>
      <xdr:col>16</xdr:col>
      <xdr:colOff>594074</xdr:colOff>
      <xdr:row>11</xdr:row>
      <xdr:rowOff>392001</xdr:rowOff>
    </xdr:to>
    <xdr:graphicFrame macro="">
      <xdr:nvGraphicFramePr>
        <xdr:cNvPr id="7" name="Grafiek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130629</xdr:colOff>
      <xdr:row>1</xdr:row>
      <xdr:rowOff>83820</xdr:rowOff>
    </xdr:from>
    <xdr:to>
      <xdr:col>1</xdr:col>
      <xdr:colOff>391886</xdr:colOff>
      <xdr:row>2</xdr:row>
      <xdr:rowOff>87084</xdr:rowOff>
    </xdr:to>
    <xdr:sp macro="" textlink="">
      <xdr:nvSpPr>
        <xdr:cNvPr id="3" name="Rechthoekig bijschrift 2"/>
        <xdr:cNvSpPr/>
      </xdr:nvSpPr>
      <xdr:spPr>
        <a:xfrm>
          <a:off x="199209" y="342900"/>
          <a:ext cx="261257" cy="254724"/>
        </a:xfrm>
        <a:prstGeom prst="wedgeRectCallout">
          <a:avLst/>
        </a:prstGeom>
        <a:ln>
          <a:solidFill>
            <a:srgbClr val="7030A0"/>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pPr algn="l"/>
          <a:r>
            <a:rPr lang="nl-BE" sz="1100"/>
            <a:t>2</a:t>
          </a:r>
        </a:p>
      </xdr:txBody>
    </xdr:sp>
    <xdr:clientData/>
  </xdr:twoCellAnchor>
  <xdr:twoCellAnchor>
    <xdr:from>
      <xdr:col>7</xdr:col>
      <xdr:colOff>794657</xdr:colOff>
      <xdr:row>0</xdr:row>
      <xdr:rowOff>163285</xdr:rowOff>
    </xdr:from>
    <xdr:to>
      <xdr:col>7</xdr:col>
      <xdr:colOff>1055914</xdr:colOff>
      <xdr:row>2</xdr:row>
      <xdr:rowOff>0</xdr:rowOff>
    </xdr:to>
    <xdr:sp macro="" textlink="">
      <xdr:nvSpPr>
        <xdr:cNvPr id="14" name="Rechthoekig bijschrift 13"/>
        <xdr:cNvSpPr/>
      </xdr:nvSpPr>
      <xdr:spPr>
        <a:xfrm>
          <a:off x="6629400" y="163285"/>
          <a:ext cx="261257" cy="261257"/>
        </a:xfrm>
        <a:prstGeom prst="wedgeRectCallout">
          <a:avLst/>
        </a:prstGeom>
        <a:ln>
          <a:solidFill>
            <a:srgbClr val="7030A0"/>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pPr algn="l"/>
          <a:r>
            <a:rPr lang="nl-BE" sz="1100"/>
            <a:t>3</a:t>
          </a:r>
        </a:p>
      </xdr:txBody>
    </xdr:sp>
    <xdr:clientData/>
  </xdr:twoCellAnchor>
  <xdr:twoCellAnchor>
    <xdr:from>
      <xdr:col>14</xdr:col>
      <xdr:colOff>740229</xdr:colOff>
      <xdr:row>0</xdr:row>
      <xdr:rowOff>0</xdr:rowOff>
    </xdr:from>
    <xdr:to>
      <xdr:col>15</xdr:col>
      <xdr:colOff>163286</xdr:colOff>
      <xdr:row>1</xdr:row>
      <xdr:rowOff>65314</xdr:rowOff>
    </xdr:to>
    <xdr:sp macro="" textlink="">
      <xdr:nvSpPr>
        <xdr:cNvPr id="15" name="Rechthoekig bijschrift 14"/>
        <xdr:cNvSpPr/>
      </xdr:nvSpPr>
      <xdr:spPr>
        <a:xfrm>
          <a:off x="12006943" y="0"/>
          <a:ext cx="261257" cy="261257"/>
        </a:xfrm>
        <a:prstGeom prst="wedgeRectCallout">
          <a:avLst/>
        </a:prstGeom>
        <a:ln>
          <a:solidFill>
            <a:srgbClr val="7030A0"/>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pPr algn="l"/>
          <a:r>
            <a:rPr lang="nl-BE" sz="1100"/>
            <a:t>1</a:t>
          </a:r>
        </a:p>
      </xdr:txBody>
    </xdr:sp>
    <xdr:clientData/>
  </xdr:twoCellAnchor>
  <xdr:twoCellAnchor>
    <xdr:from>
      <xdr:col>8</xdr:col>
      <xdr:colOff>507670</xdr:colOff>
      <xdr:row>0</xdr:row>
      <xdr:rowOff>152400</xdr:rowOff>
    </xdr:from>
    <xdr:to>
      <xdr:col>9</xdr:col>
      <xdr:colOff>152399</xdr:colOff>
      <xdr:row>2</xdr:row>
      <xdr:rowOff>0</xdr:rowOff>
    </xdr:to>
    <xdr:sp macro="" textlink="">
      <xdr:nvSpPr>
        <xdr:cNvPr id="17" name="Rechthoekig bijschrift 16"/>
        <xdr:cNvSpPr/>
      </xdr:nvSpPr>
      <xdr:spPr>
        <a:xfrm>
          <a:off x="7518070" y="152400"/>
          <a:ext cx="268184" cy="328550"/>
        </a:xfrm>
        <a:prstGeom prst="wedgeRectCallout">
          <a:avLst/>
        </a:prstGeom>
        <a:ln>
          <a:solidFill>
            <a:srgbClr val="7030A0"/>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pPr algn="l"/>
          <a:r>
            <a:rPr lang="nl-BE" sz="1100"/>
            <a:t>4</a:t>
          </a:r>
        </a:p>
      </xdr:txBody>
    </xdr:sp>
    <xdr:clientData/>
  </xdr:twoCellAnchor>
  <mc:AlternateContent xmlns:mc="http://schemas.openxmlformats.org/markup-compatibility/2006">
    <mc:Choice xmlns:a14="http://schemas.microsoft.com/office/drawing/2010/main" Requires="a14">
      <xdr:twoCellAnchor editAs="oneCell">
        <xdr:from>
          <xdr:col>1</xdr:col>
          <xdr:colOff>30480</xdr:colOff>
          <xdr:row>14</xdr:row>
          <xdr:rowOff>30480</xdr:rowOff>
        </xdr:from>
        <xdr:to>
          <xdr:col>1</xdr:col>
          <xdr:colOff>1943100</xdr:colOff>
          <xdr:row>14</xdr:row>
          <xdr:rowOff>342900</xdr:rowOff>
        </xdr:to>
        <xdr:sp macro="" textlink="">
          <xdr:nvSpPr>
            <xdr:cNvPr id="4127" name="Check Box 31" descr="drukwisselsysteem"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 DRUKWISSELSYSTEEM</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15</xdr:row>
          <xdr:rowOff>30480</xdr:rowOff>
        </xdr:from>
        <xdr:to>
          <xdr:col>1</xdr:col>
          <xdr:colOff>1943100</xdr:colOff>
          <xdr:row>15</xdr:row>
          <xdr:rowOff>342900</xdr:rowOff>
        </xdr:to>
        <xdr:sp macro="" textlink="">
          <xdr:nvSpPr>
            <xdr:cNvPr id="4128" name="Check Box 32" descr="drainage"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 GPS+RIJPADEN</a:t>
              </a:r>
            </a:p>
          </xdr:txBody>
        </xdr:sp>
        <xdr:clientData fLocksWithSheet="0"/>
      </xdr:twoCellAnchor>
    </mc:Choice>
    <mc:Fallback/>
  </mc:AlternateContent>
  <xdr:oneCellAnchor>
    <xdr:from>
      <xdr:col>12</xdr:col>
      <xdr:colOff>391230</xdr:colOff>
      <xdr:row>13</xdr:row>
      <xdr:rowOff>283326</xdr:rowOff>
    </xdr:from>
    <xdr:ext cx="3725386" cy="1281754"/>
    <xdr:pic>
      <xdr:nvPicPr>
        <xdr:cNvPr id="18" name="Afbeelding 17"/>
        <xdr:cNvPicPr>
          <a:picLocks noChangeAspect="1"/>
        </xdr:cNvPicPr>
      </xdr:nvPicPr>
      <xdr:blipFill>
        <a:blip xmlns:r="http://schemas.openxmlformats.org/officeDocument/2006/relationships" r:embed="rId2"/>
        <a:stretch>
          <a:fillRect/>
        </a:stretch>
      </xdr:blipFill>
      <xdr:spPr>
        <a:xfrm>
          <a:off x="10061010" y="5716386"/>
          <a:ext cx="3725386" cy="1281754"/>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1</xdr:col>
          <xdr:colOff>7620</xdr:colOff>
          <xdr:row>16</xdr:row>
          <xdr:rowOff>45720</xdr:rowOff>
        </xdr:from>
        <xdr:to>
          <xdr:col>1</xdr:col>
          <xdr:colOff>2103120</xdr:colOff>
          <xdr:row>17</xdr:row>
          <xdr:rowOff>0</xdr:rowOff>
        </xdr:to>
        <xdr:sp macro="" textlink="">
          <xdr:nvSpPr>
            <xdr:cNvPr id="4136" name="Check Box 40" hidden="1">
              <a:extLst>
                <a:ext uri="{63B3BB69-23CF-44E3-9099-C40C66FF867C}">
                  <a14:compatExt spid="_x0000_s4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nl-BE" sz="800" b="0" i="0" u="none" strike="noStrike" baseline="0">
                  <a:solidFill>
                    <a:srgbClr val="000000"/>
                  </a:solidFill>
                  <a:latin typeface="Segoe UI"/>
                  <a:cs typeface="Segoe UI"/>
                </a:rPr>
                <a:t>WIELLAST VERLAGEN</a:t>
              </a:r>
            </a:p>
          </xdr:txBody>
        </xdr:sp>
        <xdr:clientData/>
      </xdr:twoCellAnchor>
    </mc:Choice>
    <mc:Fallback/>
  </mc:AlternateContent>
  <xdr:twoCellAnchor>
    <xdr:from>
      <xdr:col>1</xdr:col>
      <xdr:colOff>435429</xdr:colOff>
      <xdr:row>0</xdr:row>
      <xdr:rowOff>32658</xdr:rowOff>
    </xdr:from>
    <xdr:to>
      <xdr:col>2</xdr:col>
      <xdr:colOff>1349829</xdr:colOff>
      <xdr:row>2</xdr:row>
      <xdr:rowOff>21770</xdr:rowOff>
    </xdr:to>
    <xdr:sp macro="" textlink="">
      <xdr:nvSpPr>
        <xdr:cNvPr id="19" name="Tekstvak 18"/>
        <xdr:cNvSpPr txBox="1"/>
      </xdr:nvSpPr>
      <xdr:spPr>
        <a:xfrm>
          <a:off x="500743" y="32658"/>
          <a:ext cx="3102429" cy="5007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BE" sz="2400">
              <a:solidFill>
                <a:srgbClr val="800000"/>
              </a:solidFill>
              <a:effectLst>
                <a:glow rad="381000">
                  <a:schemeClr val="accent4">
                    <a:lumMod val="20000"/>
                    <a:lumOff val="80000"/>
                    <a:alpha val="52000"/>
                  </a:schemeClr>
                </a:glow>
              </a:effectLst>
              <a:latin typeface="Gill Sans MT Condensed" panose="020B0506020104020203" pitchFamily="34" charset="0"/>
            </a:rPr>
            <a:t>BODEMBOX</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53</xdr:col>
      <xdr:colOff>0</xdr:colOff>
      <xdr:row>21</xdr:row>
      <xdr:rowOff>0</xdr:rowOff>
    </xdr:from>
    <xdr:to>
      <xdr:col>66</xdr:col>
      <xdr:colOff>60960</xdr:colOff>
      <xdr:row>23</xdr:row>
      <xdr:rowOff>68581</xdr:rowOff>
    </xdr:to>
    <xdr:pic>
      <xdr:nvPicPr>
        <xdr:cNvPr id="2" name="Afbeelding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876240" y="4450080"/>
          <a:ext cx="8709660" cy="434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2" name="Tabel2" displayName="Tabel2" ref="A9:E13" totalsRowShown="0">
  <autoFilter ref="A9:E13"/>
  <tableColumns count="5">
    <tableColumn id="1" name="kalksoort"/>
    <tableColumn id="2" name="zbw/100kg"/>
    <tableColumn id="3" name="kostprijs/ton"/>
    <tableColumn id="4" name="kostprijs ct/zbw" dataDxfId="9">
      <calculatedColumnFormula>Tabel2[[#This Row],[kostprijs/ton]]/Tabel2[[#This Row],[zbw/100kg]]</calculatedColumnFormula>
    </tableColumn>
    <tableColumn id="5" name="bron" dataDxfId="8"/>
  </tableColumns>
  <tableStyleInfo name="TableStyleLight9" showFirstColumn="0" showLastColumn="0" showRowStripes="1" showColumnStripes="0"/>
</table>
</file>

<file path=xl/tables/table2.xml><?xml version="1.0" encoding="utf-8"?>
<table xmlns="http://schemas.openxmlformats.org/spreadsheetml/2006/main" id="1" name="Tabel1" displayName="Tabel1" ref="G9:K59" totalsRowShown="0" headerRowDxfId="7" dataDxfId="6">
  <autoFilter ref="G9:K59"/>
  <sortState ref="G5:J55">
    <sortCondition ref="G5"/>
  </sortState>
  <tableColumns count="5">
    <tableColumn id="2" name="teelt" dataDxfId="5"/>
    <tableColumn id="6" name="aanvoer totale organische stof (kg/ha)" dataDxfId="4"/>
    <tableColumn id="7" name="humificatiecoëfficiënt" dataDxfId="3"/>
    <tableColumn id="8" name="aanvoer effectieve organische stof (kg C/ha)" dataDxfId="2"/>
    <tableColumn id="1" name="effect op ph" dataDxfId="1"/>
  </tableColumns>
  <tableStyleInfo name="TableStyleLight9" showFirstColumn="0" showLastColumn="0" showRowStripes="1" showColumnStripes="0"/>
</table>
</file>

<file path=xl/tables/table3.xml><?xml version="1.0" encoding="utf-8"?>
<table xmlns="http://schemas.openxmlformats.org/spreadsheetml/2006/main" id="3" name="Tabel3" displayName="Tabel3" ref="BR9:BU13" totalsRowShown="0" headerRowDxfId="0">
  <autoFilter ref="BR9:BU13"/>
  <sortState ref="BR10:BS13">
    <sortCondition ref="BR9:BR13"/>
  </sortState>
  <tableColumns count="4">
    <tableColumn id="1" name="grondsoort"/>
    <tableColumn id="2" name="min jaarlijkse afbraak effectieve organische koolstof in kg EOC/ha/jaar"/>
    <tableColumn id="3" name="limietwaarde organische koolstof (%C)"/>
    <tableColumn id="4" name="jaarlijkse afbraak organische koolstof kg C/ha"/>
  </tableColumns>
  <tableStyleInfo name="TableStyleLight9" showFirstColumn="0" showLastColumn="0" showRowStripes="1" showColumnStripes="0"/>
</table>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http://www.terranimo.dk/"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http://www.pcsierteelt.be/hosting/pcs/pcs_site.nsf/0/ada5cb581ac1068fc1257b9f002a708f/$FILE/Thema%202%20Organische%20bemesting%20voor%20sierteelt.pdf" TargetMode="External"/><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hyperlink" Target="https://www.inagro.be/DNN_DropZone/Publicaties/539/MTR_CodeVanGoedePraktijkBodembescherming_web.pdf" TargetMode="External"/><Relationship Id="rId1" Type="http://schemas.openxmlformats.org/officeDocument/2006/relationships/hyperlink" Target="https://www.inagro.be/DNN_DropZone/Publicaties/539/MTR_CodeVanGoedePraktijkBodembescherming_web.pdf" TargetMode="External"/><Relationship Id="rId6" Type="http://schemas.openxmlformats.org/officeDocument/2006/relationships/printerSettings" Target="../printerSettings/printerSettings2.bin"/><Relationship Id="rId11" Type="http://schemas.openxmlformats.org/officeDocument/2006/relationships/table" Target="../tables/table3.xml"/><Relationship Id="rId5" Type="http://schemas.openxmlformats.org/officeDocument/2006/relationships/hyperlink" Target="https://www.inagro.be/DNN_DropZone/Publicaties/539/MTR_CodeVanGoedePraktijkBodembescherming_web.pdf" TargetMode="External"/><Relationship Id="rId10" Type="http://schemas.openxmlformats.org/officeDocument/2006/relationships/table" Target="../tables/table2.xml"/><Relationship Id="rId4" Type="http://schemas.openxmlformats.org/officeDocument/2006/relationships/hyperlink" Target="https://www.vlaamsbrabant.be/binaries/OS6_Koester_de_Koolstof_EcoKwadraat_23_tcm5-124003.pdf" TargetMode="External"/><Relationship Id="rId9"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G20"/>
  <sheetViews>
    <sheetView showGridLines="0" tabSelected="1" zoomScale="66" zoomScaleNormal="66" workbookViewId="0">
      <pane xSplit="2" ySplit="5" topLeftCell="C6" activePane="bottomRight" state="frozen"/>
      <selection pane="topRight" activeCell="C1" sqref="C1"/>
      <selection pane="bottomLeft" activeCell="A7" sqref="A7"/>
      <selection pane="bottomRight" activeCell="O2" sqref="O2"/>
    </sheetView>
  </sheetViews>
  <sheetFormatPr defaultColWidth="8.88671875" defaultRowHeight="13.2" x14ac:dyDescent="0.25"/>
  <cols>
    <col min="1" max="1" width="1" style="165" customWidth="1"/>
    <col min="2" max="2" width="31.88671875" style="19" customWidth="1"/>
    <col min="3" max="3" width="24.109375" style="22" customWidth="1"/>
    <col min="4" max="4" width="6.6640625" style="18" customWidth="1"/>
    <col min="5" max="5" width="8.88671875" style="18" bestFit="1" customWidth="1"/>
    <col min="6" max="6" width="7.33203125" style="18" customWidth="1"/>
    <col min="7" max="7" width="6.44140625" style="18" customWidth="1"/>
    <col min="8" max="8" width="16.6640625" style="21" customWidth="1"/>
    <col min="9" max="9" width="10.5546875" style="18" customWidth="1"/>
    <col min="10" max="10" width="5" style="87" customWidth="1"/>
    <col min="11" max="11" width="9.44140625" style="180" customWidth="1"/>
    <col min="12" max="12" width="8.109375" style="166" customWidth="1"/>
    <col min="13" max="13" width="10" style="21" customWidth="1"/>
    <col min="14" max="14" width="15.88671875" style="21" customWidth="1"/>
    <col min="15" max="15" width="12.21875" style="21" customWidth="1"/>
    <col min="16" max="16" width="13.6640625" style="21" customWidth="1"/>
    <col min="17" max="17" width="10" style="21" customWidth="1"/>
    <col min="18" max="18" width="19.5546875" style="21" customWidth="1"/>
    <col min="19" max="19" width="3.77734375" style="198" customWidth="1"/>
    <col min="20" max="21" width="3.77734375" style="187" customWidth="1"/>
    <col min="22" max="22" width="3.77734375" style="184" customWidth="1"/>
    <col min="23" max="24" width="3.77734375" style="187" customWidth="1"/>
    <col min="25" max="25" width="3.77734375" style="184" customWidth="1"/>
    <col min="26" max="26" width="3.77734375" style="187" customWidth="1"/>
    <col min="27" max="27" width="3.77734375" style="184" customWidth="1"/>
    <col min="28" max="28" width="3.77734375" style="198" customWidth="1"/>
    <col min="29" max="31" width="3.77734375" style="187" customWidth="1"/>
    <col min="32" max="32" width="3.77734375" style="198" customWidth="1"/>
    <col min="33" max="33" width="3.77734375" style="187" customWidth="1"/>
    <col min="34" max="16384" width="8.88671875" style="20"/>
  </cols>
  <sheetData>
    <row r="1" spans="1:33" ht="20.399999999999999" customHeight="1" x14ac:dyDescent="0.25">
      <c r="A1" s="159"/>
      <c r="B1" s="208"/>
      <c r="C1" s="209"/>
      <c r="D1" s="210" t="s">
        <v>188</v>
      </c>
      <c r="E1" s="211"/>
      <c r="F1" s="211"/>
      <c r="G1" s="212"/>
      <c r="H1" s="38"/>
      <c r="I1" s="61"/>
      <c r="J1" s="61"/>
      <c r="K1" s="167"/>
      <c r="L1" s="168"/>
      <c r="M1" s="114"/>
      <c r="N1" s="125" t="s">
        <v>190</v>
      </c>
      <c r="O1" s="115"/>
      <c r="P1" s="223" t="s">
        <v>232</v>
      </c>
      <c r="Q1" s="223"/>
      <c r="R1" s="126"/>
      <c r="S1" s="182"/>
      <c r="T1" s="183"/>
      <c r="U1" s="184"/>
      <c r="W1" s="184"/>
      <c r="X1" s="184"/>
      <c r="Z1" s="184"/>
      <c r="AB1" s="182"/>
      <c r="AC1" s="184"/>
      <c r="AD1" s="184"/>
      <c r="AE1" s="184"/>
      <c r="AF1" s="182"/>
      <c r="AG1" s="182"/>
    </row>
    <row r="2" spans="1:33" ht="19.95" customHeight="1" x14ac:dyDescent="0.25">
      <c r="A2" s="159"/>
      <c r="B2" s="208"/>
      <c r="C2" s="209"/>
      <c r="D2" s="213" t="s">
        <v>0</v>
      </c>
      <c r="E2" s="214" t="s">
        <v>114</v>
      </c>
      <c r="F2" s="215" t="s">
        <v>133</v>
      </c>
      <c r="G2" s="216" t="s">
        <v>115</v>
      </c>
      <c r="H2" s="226" t="s">
        <v>235</v>
      </c>
      <c r="I2" s="226" t="s">
        <v>236</v>
      </c>
      <c r="J2" s="86"/>
      <c r="K2" s="224" t="s">
        <v>277</v>
      </c>
      <c r="L2" s="225" t="s">
        <v>278</v>
      </c>
      <c r="M2" s="101"/>
      <c r="N2" s="116" t="s">
        <v>228</v>
      </c>
      <c r="O2" s="155">
        <v>1.6E-2</v>
      </c>
      <c r="P2" s="223"/>
      <c r="Q2" s="223"/>
      <c r="R2" s="126"/>
      <c r="S2" s="182"/>
      <c r="T2" s="183"/>
      <c r="U2" s="184"/>
      <c r="W2" s="184"/>
      <c r="X2" s="184"/>
      <c r="Z2" s="184"/>
      <c r="AB2" s="182"/>
      <c r="AC2" s="184"/>
      <c r="AD2" s="184"/>
      <c r="AE2" s="184"/>
      <c r="AF2" s="182"/>
      <c r="AG2" s="182"/>
    </row>
    <row r="3" spans="1:33" ht="19.95" customHeight="1" x14ac:dyDescent="0.25">
      <c r="A3" s="159"/>
      <c r="B3" s="204" t="s">
        <v>237</v>
      </c>
      <c r="C3" s="207" t="s">
        <v>238</v>
      </c>
      <c r="D3" s="213"/>
      <c r="E3" s="214"/>
      <c r="F3" s="215"/>
      <c r="G3" s="216"/>
      <c r="H3" s="227"/>
      <c r="I3" s="227"/>
      <c r="J3" s="228"/>
      <c r="K3" s="224"/>
      <c r="L3" s="225"/>
      <c r="M3" s="101"/>
      <c r="N3" s="130" t="s">
        <v>186</v>
      </c>
      <c r="O3" s="123">
        <v>-5</v>
      </c>
      <c r="P3" s="117" t="s">
        <v>230</v>
      </c>
      <c r="Q3" s="118">
        <v>1400</v>
      </c>
      <c r="R3" s="119"/>
      <c r="S3" s="218"/>
      <c r="T3" s="219"/>
      <c r="U3" s="217"/>
      <c r="V3" s="217"/>
      <c r="W3" s="217"/>
      <c r="X3" s="217"/>
      <c r="Y3" s="217"/>
      <c r="Z3" s="217"/>
      <c r="AA3" s="217"/>
      <c r="AB3" s="218"/>
      <c r="AC3" s="184"/>
      <c r="AD3" s="184"/>
      <c r="AE3" s="184"/>
      <c r="AF3" s="182"/>
      <c r="AG3" s="182"/>
    </row>
    <row r="4" spans="1:33" ht="19.95" customHeight="1" x14ac:dyDescent="0.25">
      <c r="A4" s="159"/>
      <c r="B4" s="205"/>
      <c r="C4" s="207"/>
      <c r="D4" s="213"/>
      <c r="E4" s="214"/>
      <c r="F4" s="215"/>
      <c r="G4" s="216"/>
      <c r="H4" s="227"/>
      <c r="I4" s="227"/>
      <c r="J4" s="228"/>
      <c r="K4" s="224"/>
      <c r="L4" s="225"/>
      <c r="M4" s="101"/>
      <c r="N4" s="130" t="s">
        <v>187</v>
      </c>
      <c r="O4" s="123">
        <v>170</v>
      </c>
      <c r="P4" s="117" t="s">
        <v>231</v>
      </c>
      <c r="Q4" s="119">
        <v>0.02</v>
      </c>
      <c r="R4" s="118"/>
      <c r="S4" s="218"/>
      <c r="T4" s="219"/>
      <c r="U4" s="217"/>
      <c r="V4" s="217"/>
      <c r="W4" s="217"/>
      <c r="X4" s="217"/>
      <c r="Y4" s="217"/>
      <c r="Z4" s="217"/>
      <c r="AA4" s="217"/>
      <c r="AB4" s="218"/>
      <c r="AC4" s="184"/>
      <c r="AD4" s="184"/>
      <c r="AE4" s="184"/>
      <c r="AF4" s="182"/>
      <c r="AG4" s="182"/>
    </row>
    <row r="5" spans="1:33" ht="19.95" customHeight="1" x14ac:dyDescent="0.25">
      <c r="A5" s="159" t="s">
        <v>117</v>
      </c>
      <c r="B5" s="206"/>
      <c r="C5" s="207"/>
      <c r="D5" s="213"/>
      <c r="E5" s="214"/>
      <c r="F5" s="215"/>
      <c r="G5" s="216"/>
      <c r="H5" s="227"/>
      <c r="I5" s="227"/>
      <c r="J5" s="228"/>
      <c r="K5" s="224"/>
      <c r="L5" s="225"/>
      <c r="M5" s="101"/>
      <c r="N5" s="130" t="s">
        <v>273</v>
      </c>
      <c r="O5" s="124">
        <v>70</v>
      </c>
      <c r="P5" s="117" t="s">
        <v>229</v>
      </c>
      <c r="Q5" s="118">
        <v>0.3</v>
      </c>
      <c r="R5" s="126"/>
      <c r="S5" s="218"/>
      <c r="T5" s="219"/>
      <c r="U5" s="217"/>
      <c r="V5" s="217"/>
      <c r="W5" s="217"/>
      <c r="X5" s="217"/>
      <c r="Y5" s="217"/>
      <c r="Z5" s="217"/>
      <c r="AA5" s="217"/>
      <c r="AB5" s="218"/>
      <c r="AC5" s="185"/>
      <c r="AD5" s="185"/>
      <c r="AE5" s="185"/>
      <c r="AF5" s="182" t="s">
        <v>130</v>
      </c>
      <c r="AG5" s="182" t="s">
        <v>116</v>
      </c>
    </row>
    <row r="6" spans="1:33" ht="40.200000000000003" customHeight="1" x14ac:dyDescent="0.25">
      <c r="A6" s="160" t="b">
        <v>0</v>
      </c>
      <c r="B6" s="39"/>
      <c r="C6" s="97" t="str">
        <f>"toedienen van "&amp;I6&amp;" zbw dmv "&amp;H6&amp;" ("&amp;S6&amp;"ton/ha)"</f>
        <v>toedienen van 1500 zbw dmv vocht. poederkalk (3,2ton/ha)</v>
      </c>
      <c r="D6" s="40">
        <f>IF(A6=TRUE,1,0)</f>
        <v>0</v>
      </c>
      <c r="E6" s="151">
        <f>IF(I6&gt;2500,1,0)</f>
        <v>0</v>
      </c>
      <c r="F6" s="41"/>
      <c r="G6" s="144">
        <f>IF(A6=TRUE,1,0)</f>
        <v>0</v>
      </c>
      <c r="H6" s="156" t="s">
        <v>211</v>
      </c>
      <c r="I6" s="157">
        <v>1500</v>
      </c>
      <c r="J6" s="88" t="s">
        <v>271</v>
      </c>
      <c r="K6" s="169">
        <f>AG6*A6</f>
        <v>0</v>
      </c>
      <c r="L6" s="170"/>
      <c r="M6" s="23"/>
      <c r="N6" s="23"/>
      <c r="O6" s="23"/>
      <c r="P6" s="23"/>
      <c r="Q6" s="23"/>
      <c r="R6" s="129"/>
      <c r="S6" s="186">
        <f>ROUND(W6/U6/10,1)</f>
        <v>3.2</v>
      </c>
      <c r="U6" s="188">
        <f>VLOOKUP(H6,kalksoorten,2,FALSE)</f>
        <v>47</v>
      </c>
      <c r="V6" s="189" t="s">
        <v>123</v>
      </c>
      <c r="W6" s="190">
        <f>I6</f>
        <v>1500</v>
      </c>
      <c r="X6" s="190">
        <v>1500</v>
      </c>
      <c r="Y6" s="189" t="str">
        <f>J6</f>
        <v>zbw/ha</v>
      </c>
      <c r="Z6" s="190">
        <f>VLOOKUP(H6,kalksoorten,3,FALSE)</f>
        <v>45</v>
      </c>
      <c r="AA6" s="189" t="s">
        <v>210</v>
      </c>
      <c r="AB6" s="191">
        <f>S6*Z6</f>
        <v>144</v>
      </c>
      <c r="AF6" s="192">
        <f>tabellen!$C$2</f>
        <v>52</v>
      </c>
      <c r="AG6" s="191">
        <f>AB6+AF6</f>
        <v>196</v>
      </c>
    </row>
    <row r="7" spans="1:33" ht="40.200000000000003" customHeight="1" x14ac:dyDescent="0.2">
      <c r="A7" s="161" t="b">
        <v>1</v>
      </c>
      <c r="B7" s="153"/>
      <c r="C7" s="98" t="str">
        <f>"jaarlijkse afbraak met groenbedekker "&amp;H7&amp;" voor "&amp;L7*100&amp;"% gecompenseerd; uiterste zaaidatum: "&amp;VLOOKUP(H7,groenbedekkers,12,0)</f>
        <v>jaarlijkse afbraak met groenbedekker italiaans raaigras voor 69% gecompenseerd; uiterste zaaidatum: half okt</v>
      </c>
      <c r="D7" s="42"/>
      <c r="E7" s="43">
        <f>IF(A7=TRUE,1,0)</f>
        <v>1</v>
      </c>
      <c r="F7" s="148">
        <f>IF(VLOOKUP(H7,groenbedekkers,2)="ja",A7*1,0)</f>
        <v>0</v>
      </c>
      <c r="G7" s="147">
        <f>IF(A7=TRUE,1,0)</f>
        <v>1</v>
      </c>
      <c r="H7" s="122" t="s">
        <v>10</v>
      </c>
      <c r="I7" s="157">
        <v>20</v>
      </c>
      <c r="J7" s="89" t="s">
        <v>222</v>
      </c>
      <c r="K7" s="171">
        <f>AG7*A7</f>
        <v>84</v>
      </c>
      <c r="L7" s="172">
        <f>ROUND(U7/T12,2)*A7</f>
        <v>0.69</v>
      </c>
      <c r="M7" s="44"/>
      <c r="N7" s="44"/>
      <c r="O7" s="45"/>
      <c r="P7" s="45"/>
      <c r="Q7" s="24"/>
      <c r="R7" s="35"/>
      <c r="S7" s="191"/>
      <c r="T7" s="193"/>
      <c r="U7" s="188">
        <f>VLOOKUP($H7,groenbedekkers,5,FALSE)*A7</f>
        <v>930</v>
      </c>
      <c r="V7" s="189" t="s">
        <v>124</v>
      </c>
      <c r="W7" s="194">
        <f>I7</f>
        <v>20</v>
      </c>
      <c r="X7" s="190">
        <f>AVERAGE(VLOOKUP($H7,groenbedekkers,7,FALSE),VLOOKUP($H7,groenbedekkers,8,FALSE))</f>
        <v>15</v>
      </c>
      <c r="Y7" s="189" t="s">
        <v>125</v>
      </c>
      <c r="Z7" s="188">
        <f>VLOOKUP($H7,groenbedekkers,6,FALSE)</f>
        <v>1.6</v>
      </c>
      <c r="AA7" s="189" t="s">
        <v>134</v>
      </c>
      <c r="AB7" s="191">
        <f>X7*Z7</f>
        <v>24</v>
      </c>
      <c r="AF7" s="186">
        <v>60</v>
      </c>
      <c r="AG7" s="191">
        <f>AB7+AF7</f>
        <v>84</v>
      </c>
    </row>
    <row r="8" spans="1:33" ht="40.200000000000003" customHeight="1" x14ac:dyDescent="0.15">
      <c r="A8" s="161" t="b">
        <v>1</v>
      </c>
      <c r="B8" s="121"/>
      <c r="C8" s="98" t="str">
        <f>"jaarlijkse afbraak met oogstrest voor "&amp;L8*100&amp;"% gecompenseerd"</f>
        <v>jaarlijkse afbraak met oogstrest voor 48% gecompenseerd</v>
      </c>
      <c r="D8" s="148">
        <f>VLOOKUP(H8,teelt,5)*A8</f>
        <v>0</v>
      </c>
      <c r="E8" s="43">
        <f>IF(A8=TRUE,1,0)</f>
        <v>1</v>
      </c>
      <c r="F8" s="46"/>
      <c r="G8" s="106"/>
      <c r="H8" s="122" t="s">
        <v>36</v>
      </c>
      <c r="I8" s="158"/>
      <c r="J8" s="90"/>
      <c r="K8" s="171"/>
      <c r="L8" s="172">
        <f>ROUND(U8/T12,2)*A8</f>
        <v>0.48</v>
      </c>
      <c r="M8" s="44"/>
      <c r="N8" s="44"/>
      <c r="O8" s="45"/>
      <c r="P8" s="45"/>
      <c r="Q8" s="24"/>
      <c r="R8" s="35"/>
      <c r="S8" s="191"/>
      <c r="T8" s="193"/>
      <c r="U8" s="188">
        <f>VLOOKUP($H8,teelt,4,FALSE)*A8</f>
        <v>640</v>
      </c>
      <c r="V8" s="189" t="s">
        <v>124</v>
      </c>
      <c r="W8" s="190"/>
      <c r="X8" s="190"/>
      <c r="Y8" s="189"/>
      <c r="Z8" s="188"/>
      <c r="AA8" s="189"/>
      <c r="AB8" s="191"/>
      <c r="AC8" s="195" t="s">
        <v>80</v>
      </c>
      <c r="AD8" s="195" t="s">
        <v>81</v>
      </c>
      <c r="AE8" s="195"/>
      <c r="AF8" s="186"/>
      <c r="AG8" s="191"/>
    </row>
    <row r="9" spans="1:33" ht="40.200000000000003" customHeight="1" x14ac:dyDescent="0.25">
      <c r="A9" s="161" t="b">
        <v>0</v>
      </c>
      <c r="B9" s="121"/>
      <c r="C9" s="98" t="str">
        <f>"jaarlijkse afbraak met aanbreng C-rijk materiaal voor "&amp;L9*100&amp;"% gecompenseerd"</f>
        <v>jaarlijkse afbraak met aanbreng C-rijk materiaal voor 0% gecompenseerd</v>
      </c>
      <c r="D9" s="148">
        <f>VLOOKUP(H9,C_rijk_organisch_materiaal,13,0)*A9</f>
        <v>0</v>
      </c>
      <c r="E9" s="43">
        <f>IF(A9=TRUE,1,0)</f>
        <v>0</v>
      </c>
      <c r="F9" s="46"/>
      <c r="G9" s="106"/>
      <c r="H9" s="122" t="s">
        <v>75</v>
      </c>
      <c r="I9" s="157">
        <v>1</v>
      </c>
      <c r="J9" s="91" t="str">
        <f>Y9</f>
        <v>ton/ha</v>
      </c>
      <c r="K9" s="171">
        <f>AG9*A9</f>
        <v>0</v>
      </c>
      <c r="L9" s="172">
        <f>ROUND(U9/T12,2)*A9</f>
        <v>0</v>
      </c>
      <c r="M9" s="44"/>
      <c r="N9" s="44"/>
      <c r="O9" s="45"/>
      <c r="P9" s="45"/>
      <c r="Q9" s="24"/>
      <c r="R9" s="35"/>
      <c r="S9" s="191"/>
      <c r="T9" s="193"/>
      <c r="U9" s="188">
        <f>VLOOKUP($H9,C_rijk_organisch_materiaal,2,FALSE)*W9*A9</f>
        <v>0</v>
      </c>
      <c r="V9" s="189" t="s">
        <v>124</v>
      </c>
      <c r="W9" s="190">
        <f>I9</f>
        <v>1</v>
      </c>
      <c r="X9" s="190">
        <v>24</v>
      </c>
      <c r="Y9" s="189" t="s">
        <v>78</v>
      </c>
      <c r="Z9" s="188">
        <f>VLOOKUP($H9,C_rijk_organisch_materiaal,4,FALSE)</f>
        <v>132</v>
      </c>
      <c r="AA9" s="189" t="s">
        <v>135</v>
      </c>
      <c r="AB9" s="191">
        <f>W9*Z9</f>
        <v>132</v>
      </c>
      <c r="AC9" s="196">
        <f>$W9*VLOOKUP($H9,C_rijk_organisch_materiaal,8,0)</f>
        <v>12</v>
      </c>
      <c r="AD9" s="196">
        <f>$W9*VLOOKUP($H9,C_rijk_organisch_materiaal,9,0)</f>
        <v>6.6</v>
      </c>
      <c r="AF9" s="186">
        <v>60</v>
      </c>
      <c r="AG9" s="191">
        <f>AB9+AF9</f>
        <v>192</v>
      </c>
    </row>
    <row r="10" spans="1:33" ht="44.4" customHeight="1" x14ac:dyDescent="0.3">
      <c r="A10" s="161" t="b">
        <v>0</v>
      </c>
      <c r="B10" s="203" t="s">
        <v>270</v>
      </c>
      <c r="C10" s="98" t="str">
        <f>"jaarlijkse afbraak met aanbreng C-arm materiaal met "&amp;L10*100&amp;"% gecompenseerd"</f>
        <v>jaarlijkse afbraak met aanbreng C-arm materiaal met 0% gecompenseerd</v>
      </c>
      <c r="D10" s="148">
        <f>VLOOKUP(H10,C_arm_organisch_materiaal,13,0)*A10</f>
        <v>0</v>
      </c>
      <c r="E10" s="131">
        <f>IF(A10=TRUE,1,0)</f>
        <v>0</v>
      </c>
      <c r="F10" s="46"/>
      <c r="G10" s="107"/>
      <c r="H10" s="122" t="s">
        <v>173</v>
      </c>
      <c r="I10" s="157">
        <v>8</v>
      </c>
      <c r="J10" s="89" t="str">
        <f>Y10</f>
        <v>ton of m3/ha</v>
      </c>
      <c r="K10" s="171">
        <f>AG10*A10</f>
        <v>0</v>
      </c>
      <c r="L10" s="172">
        <f>ROUND(U10/T12,2)*A10</f>
        <v>0</v>
      </c>
      <c r="M10" s="44"/>
      <c r="N10" s="44"/>
      <c r="O10" s="45"/>
      <c r="P10" s="45"/>
      <c r="Q10" s="24"/>
      <c r="R10" s="35"/>
      <c r="S10" s="191"/>
      <c r="T10" s="193"/>
      <c r="U10" s="188">
        <f>VLOOKUP($H10,C_arm_organisch_materiaal,2,FALSE)*W10*A10</f>
        <v>0</v>
      </c>
      <c r="V10" s="189" t="s">
        <v>124</v>
      </c>
      <c r="W10" s="190">
        <f>I10</f>
        <v>8</v>
      </c>
      <c r="X10" s="190">
        <v>41</v>
      </c>
      <c r="Y10" s="189" t="s">
        <v>223</v>
      </c>
      <c r="Z10" s="188">
        <v>-10</v>
      </c>
      <c r="AA10" s="189" t="s">
        <v>142</v>
      </c>
      <c r="AB10" s="191">
        <f>Z10*W10</f>
        <v>-80</v>
      </c>
      <c r="AC10" s="196">
        <f>$W10*VLOOKUP($H10,C_arm_organisch_materiaal,8,0)</f>
        <v>86.4</v>
      </c>
      <c r="AD10" s="196">
        <f>$W10*VLOOKUP($H10,C_arm_organisch_materiaal,9,0)</f>
        <v>55.2</v>
      </c>
      <c r="AF10" s="186"/>
      <c r="AG10" s="191">
        <f>AB10+AF10</f>
        <v>-80</v>
      </c>
    </row>
    <row r="11" spans="1:33" ht="25.2" customHeight="1" x14ac:dyDescent="0.3">
      <c r="A11" s="161"/>
      <c r="B11" s="203"/>
      <c r="C11" s="99" t="str">
        <f>IF(OR(E11&gt;O4,G11&gt;O5),"je overschrijdt de bemestingsnorm!","ok binnen de bemestingsnorm")</f>
        <v>ok binnen de bemestingsnorm</v>
      </c>
      <c r="D11" s="94" t="s">
        <v>80</v>
      </c>
      <c r="E11" s="95">
        <f>A9*AC9+A10*AC10</f>
        <v>0</v>
      </c>
      <c r="F11" s="154" t="s">
        <v>274</v>
      </c>
      <c r="G11" s="95">
        <f>A9*AD9+A10*AD10</f>
        <v>0</v>
      </c>
      <c r="H11" s="47" t="s">
        <v>179</v>
      </c>
      <c r="I11" s="84"/>
      <c r="J11" s="92"/>
      <c r="K11" s="171"/>
      <c r="L11" s="172"/>
      <c r="M11" s="47"/>
      <c r="N11" s="47"/>
      <c r="O11" s="45"/>
      <c r="P11" s="45"/>
      <c r="Q11" s="24"/>
      <c r="R11" s="35"/>
      <c r="S11" s="191"/>
      <c r="T11" s="185"/>
      <c r="U11" s="188"/>
      <c r="V11" s="189"/>
      <c r="W11" s="190"/>
      <c r="X11" s="190"/>
      <c r="Y11" s="189"/>
      <c r="Z11" s="188"/>
      <c r="AA11" s="189"/>
      <c r="AB11" s="191"/>
      <c r="AF11" s="186"/>
      <c r="AG11" s="191"/>
    </row>
    <row r="12" spans="1:33" s="201" customFormat="1" ht="34.950000000000003" customHeight="1" x14ac:dyDescent="0.15">
      <c r="A12" s="162"/>
      <c r="B12" s="120" t="s">
        <v>127</v>
      </c>
      <c r="C12" s="109" t="str">
        <f>"jaarlijkse afbraak met groenbedekker voor "&amp;L12*100&amp;"% gecompenseerd"</f>
        <v>jaarlijkse afbraak met groenbedekker voor 117% gecompenseerd</v>
      </c>
      <c r="D12" s="222" t="str">
        <f>"Dit heeft een "&amp;IF(L12&gt;1,"gunstige","negatieve")&amp;" invloed op het waterbergend vermogen van de bodem"</f>
        <v>Dit heeft een gunstige invloed op het waterbergend vermogen van de bodem</v>
      </c>
      <c r="E12" s="222"/>
      <c r="F12" s="222"/>
      <c r="G12" s="222"/>
      <c r="H12" s="222"/>
      <c r="I12" s="222"/>
      <c r="J12" s="222"/>
      <c r="K12" s="173">
        <f>K10+K9+K7</f>
        <v>84</v>
      </c>
      <c r="L12" s="174">
        <f>ROUND(U12/T12,2)</f>
        <v>1.17</v>
      </c>
      <c r="M12" s="48"/>
      <c r="N12" s="48"/>
      <c r="O12" s="49"/>
      <c r="P12" s="49"/>
      <c r="Q12" s="31"/>
      <c r="R12" s="37"/>
      <c r="S12" s="191"/>
      <c r="T12" s="193">
        <f>$O$2*$Q$5*10000*$Q$3*$Q$4</f>
        <v>1343.9999999999998</v>
      </c>
      <c r="U12" s="191">
        <f>U7*A7+U8*A8+U9*A9+U10*A10</f>
        <v>1570</v>
      </c>
      <c r="V12" s="197"/>
      <c r="W12" s="187"/>
      <c r="X12" s="187"/>
      <c r="Y12" s="197"/>
      <c r="Z12" s="187"/>
      <c r="AA12" s="197"/>
      <c r="AB12" s="198"/>
      <c r="AC12" s="199" t="s">
        <v>128</v>
      </c>
      <c r="AD12" s="199" t="s">
        <v>98</v>
      </c>
      <c r="AE12" s="199" t="s">
        <v>129</v>
      </c>
      <c r="AF12" s="198"/>
      <c r="AG12" s="191">
        <f>AG10+AG9+AG7</f>
        <v>196</v>
      </c>
    </row>
    <row r="13" spans="1:33" ht="47.4" customHeight="1" x14ac:dyDescent="0.3">
      <c r="A13" s="163" t="b">
        <v>0</v>
      </c>
      <c r="B13" s="108" t="s">
        <v>233</v>
      </c>
      <c r="C13" s="100" t="str">
        <f>IF(A13=TRUE,IF(F7=1,"goed, je combineert ook met een diepwortelende groenbedekker","je combineert beter met een groenbedekker die diep wortelt vb. bladramanas"),"")</f>
        <v/>
      </c>
      <c r="D13" s="51"/>
      <c r="E13" s="52"/>
      <c r="F13" s="52">
        <f>IF(A13=TRUE,1,0)</f>
        <v>0</v>
      </c>
      <c r="G13" s="53"/>
      <c r="H13" s="113" t="str">
        <f>tabellen!BB11</f>
        <v>diepwoeler 4 tanden</v>
      </c>
      <c r="I13" s="85"/>
      <c r="J13" s="93"/>
      <c r="K13" s="175">
        <f>AF13*A13</f>
        <v>0</v>
      </c>
      <c r="L13" s="176"/>
      <c r="M13" s="54"/>
      <c r="N13" s="54"/>
      <c r="O13" s="55"/>
      <c r="P13" s="55"/>
      <c r="Q13" s="35"/>
      <c r="R13" s="35"/>
      <c r="S13" s="191"/>
      <c r="T13" s="193"/>
      <c r="U13" s="188"/>
      <c r="V13" s="189"/>
      <c r="W13" s="190"/>
      <c r="X13" s="190"/>
      <c r="Y13" s="189"/>
      <c r="Z13" s="188"/>
      <c r="AA13" s="189"/>
      <c r="AB13" s="191"/>
      <c r="AC13" s="200">
        <f>VLOOKUP($H13,bodembewerking__machine,7,FALSE)+VLOOKUP($H13,bodembewerking__machine,8,FALSE)</f>
        <v>20.166666666666664</v>
      </c>
      <c r="AD13" s="187">
        <f>VLOOKUP($H13,bodembewerking__machine,11,FALSE)</f>
        <v>9.75</v>
      </c>
      <c r="AE13" s="187">
        <f>VLOOKUP($H13,bodembewerking__machine,14,FALSE)</f>
        <v>35</v>
      </c>
      <c r="AF13" s="192">
        <f>AE13+AD13+AC13</f>
        <v>64.916666666666657</v>
      </c>
      <c r="AG13" s="191">
        <f>AF13+AB13</f>
        <v>64.916666666666657</v>
      </c>
    </row>
    <row r="14" spans="1:33" ht="33" customHeight="1" x14ac:dyDescent="0.3">
      <c r="A14" s="163" t="b">
        <v>0</v>
      </c>
      <c r="B14" s="50"/>
      <c r="C14" s="100" t="s">
        <v>189</v>
      </c>
      <c r="D14" s="51"/>
      <c r="E14" s="133">
        <f>IF(A14=TRUE,0,1)</f>
        <v>1</v>
      </c>
      <c r="F14" s="52">
        <f>IF(A14=TRUE,1,0)</f>
        <v>0</v>
      </c>
      <c r="G14" s="53"/>
      <c r="H14" s="113" t="str">
        <f>tabellen!BB14</f>
        <v>drainage</v>
      </c>
      <c r="I14" s="85"/>
      <c r="J14" s="93"/>
      <c r="K14" s="175">
        <f>AF14*A14</f>
        <v>0</v>
      </c>
      <c r="L14" s="177"/>
      <c r="M14" s="54"/>
      <c r="N14" s="54"/>
      <c r="O14" s="55"/>
      <c r="P14" s="55"/>
      <c r="Q14" s="35"/>
      <c r="R14" s="35"/>
      <c r="S14" s="191"/>
      <c r="T14" s="193"/>
      <c r="U14" s="188"/>
      <c r="V14" s="189"/>
      <c r="W14" s="190"/>
      <c r="X14" s="190"/>
      <c r="Y14" s="189"/>
      <c r="Z14" s="188"/>
      <c r="AA14" s="189"/>
      <c r="AB14" s="191"/>
      <c r="AC14" s="200">
        <f>VLOOKUP($H14,bodembewerking__machine,7,FALSE)+VLOOKUP($H14,bodembewerking__machine,8,FALSE)</f>
        <v>200</v>
      </c>
      <c r="AD14" s="187">
        <f>VLOOKUP($H14,bodembewerking__machine,11,FALSE)</f>
        <v>0</v>
      </c>
      <c r="AE14" s="187">
        <f>VLOOKUP($H14,bodembewerking__machine,14,FALSE)</f>
        <v>35</v>
      </c>
      <c r="AF14" s="192">
        <f>AE14+AD14+AC14</f>
        <v>235</v>
      </c>
      <c r="AG14" s="191">
        <f>AF14+AB14</f>
        <v>235</v>
      </c>
    </row>
    <row r="15" spans="1:33" ht="33" customHeight="1" x14ac:dyDescent="0.3">
      <c r="A15" s="163" t="b">
        <v>0</v>
      </c>
      <c r="B15" s="50"/>
      <c r="C15" s="100" t="s">
        <v>241</v>
      </c>
      <c r="D15" s="51"/>
      <c r="E15" s="52"/>
      <c r="F15" s="52">
        <f>IF(A15=TRUE,1,0)</f>
        <v>0</v>
      </c>
      <c r="G15" s="132">
        <f>IF(A15=TRUE,1,0)</f>
        <v>0</v>
      </c>
      <c r="H15" s="113" t="s">
        <v>224</v>
      </c>
      <c r="I15" s="85"/>
      <c r="J15" s="93"/>
      <c r="K15" s="175">
        <f>AF15*A15</f>
        <v>0</v>
      </c>
      <c r="L15" s="177"/>
      <c r="M15" s="54"/>
      <c r="N15" s="54"/>
      <c r="O15" s="55"/>
      <c r="P15" s="55"/>
      <c r="Q15" s="35"/>
      <c r="R15" s="35"/>
      <c r="S15" s="191"/>
      <c r="T15" s="193"/>
      <c r="U15" s="188"/>
      <c r="V15" s="189"/>
      <c r="W15" s="190"/>
      <c r="X15" s="190"/>
      <c r="Y15" s="189"/>
      <c r="Z15" s="188"/>
      <c r="AA15" s="189"/>
      <c r="AB15" s="191"/>
      <c r="AC15" s="200">
        <f>VLOOKUP($H15,bodembewerking__machine,7,FALSE)+VLOOKUP($H15,bodembewerking__machine,8,FALSE)</f>
        <v>20</v>
      </c>
      <c r="AD15" s="187">
        <f>VLOOKUP($H15,bodembewerking__machine,11,FALSE)</f>
        <v>-0.97500000000000009</v>
      </c>
      <c r="AE15" s="187">
        <f>VLOOKUP($H15,bodembewerking__machine,14,FALSE)</f>
        <v>0</v>
      </c>
      <c r="AF15" s="192">
        <f>AE15+AD15+AC15</f>
        <v>19.024999999999999</v>
      </c>
      <c r="AG15" s="191">
        <f>AF15+AB15</f>
        <v>19.024999999999999</v>
      </c>
    </row>
    <row r="16" spans="1:33" ht="33" customHeight="1" x14ac:dyDescent="0.3">
      <c r="A16" s="163" t="b">
        <v>0</v>
      </c>
      <c r="B16" s="50"/>
      <c r="C16" s="100" t="s">
        <v>272</v>
      </c>
      <c r="D16" s="51"/>
      <c r="E16" s="52"/>
      <c r="F16" s="52">
        <f>IF(A16=TRUE,1,0)</f>
        <v>0</v>
      </c>
      <c r="G16" s="53"/>
      <c r="H16" s="113" t="s">
        <v>208</v>
      </c>
      <c r="I16" s="85"/>
      <c r="J16" s="93"/>
      <c r="K16" s="175">
        <f>AF16*A16</f>
        <v>0</v>
      </c>
      <c r="L16" s="177"/>
      <c r="M16" s="54"/>
      <c r="N16" s="54"/>
      <c r="O16" s="55"/>
      <c r="P16" s="55"/>
      <c r="Q16" s="35"/>
      <c r="R16" s="35"/>
      <c r="S16" s="191"/>
      <c r="T16" s="193"/>
      <c r="U16" s="188"/>
      <c r="V16" s="189"/>
      <c r="W16" s="190"/>
      <c r="X16" s="190"/>
      <c r="Y16" s="189"/>
      <c r="Z16" s="188"/>
      <c r="AA16" s="189"/>
      <c r="AB16" s="191"/>
      <c r="AC16" s="200">
        <f>VLOOKUP($H16,bodembewerking__machine,7,FALSE)+VLOOKUP($H16,bodembewerking__machine,8,FALSE)</f>
        <v>93.333333333333329</v>
      </c>
      <c r="AD16" s="187">
        <f>VLOOKUP($H16,bodembewerking__machine,11,FALSE)</f>
        <v>0</v>
      </c>
      <c r="AE16" s="187">
        <f>VLOOKUP($H16,bodembewerking__machine,14,FALSE)</f>
        <v>0</v>
      </c>
      <c r="AF16" s="192">
        <f>AE16+AD16+AC16</f>
        <v>93.333333333333329</v>
      </c>
      <c r="AG16" s="191">
        <f>AF16+AB16</f>
        <v>93.333333333333329</v>
      </c>
    </row>
    <row r="17" spans="1:33" ht="27.6" customHeight="1" x14ac:dyDescent="0.3">
      <c r="A17" s="163" t="b">
        <v>0</v>
      </c>
      <c r="B17" s="50"/>
      <c r="C17" s="100" t="s">
        <v>255</v>
      </c>
      <c r="D17" s="51"/>
      <c r="E17" s="52"/>
      <c r="F17" s="52">
        <f>IF(A17=TRUE,1,0)</f>
        <v>0</v>
      </c>
      <c r="G17" s="132">
        <f>IF(A17=TRUE,1,0)</f>
        <v>0</v>
      </c>
      <c r="H17" s="113" t="s">
        <v>240</v>
      </c>
      <c r="I17" s="85"/>
      <c r="J17" s="93"/>
      <c r="K17" s="175"/>
      <c r="L17" s="177"/>
      <c r="M17" s="54"/>
      <c r="N17" s="54"/>
      <c r="O17" s="55"/>
      <c r="P17" s="55"/>
      <c r="Q17" s="35"/>
      <c r="R17" s="35"/>
      <c r="S17" s="191"/>
      <c r="T17" s="193"/>
      <c r="U17" s="188"/>
      <c r="V17" s="189"/>
      <c r="W17" s="190"/>
      <c r="X17" s="190"/>
      <c r="Y17" s="189"/>
      <c r="Z17" s="188"/>
      <c r="AA17" s="189"/>
      <c r="AB17" s="191"/>
      <c r="AC17" s="200"/>
      <c r="AF17" s="192"/>
      <c r="AG17" s="191"/>
    </row>
    <row r="18" spans="1:33" ht="12" customHeight="1" x14ac:dyDescent="0.3">
      <c r="A18" s="163"/>
      <c r="B18" s="50"/>
      <c r="C18" s="150" t="s">
        <v>256</v>
      </c>
      <c r="D18" s="51"/>
      <c r="E18" s="52"/>
      <c r="F18" s="52"/>
      <c r="G18" s="133"/>
      <c r="H18" s="113"/>
      <c r="I18" s="85"/>
      <c r="J18" s="93"/>
      <c r="K18" s="175"/>
      <c r="L18" s="177"/>
      <c r="M18" s="54"/>
      <c r="N18" s="54"/>
      <c r="O18" s="55"/>
      <c r="P18" s="55"/>
      <c r="Q18" s="35"/>
      <c r="R18" s="35"/>
      <c r="S18" s="191"/>
      <c r="T18" s="193"/>
      <c r="U18" s="188"/>
      <c r="V18" s="189"/>
      <c r="W18" s="190"/>
      <c r="X18" s="190"/>
      <c r="Y18" s="189"/>
      <c r="Z18" s="188"/>
      <c r="AA18" s="189"/>
      <c r="AB18" s="191"/>
      <c r="AC18" s="200"/>
      <c r="AF18" s="192"/>
      <c r="AG18" s="191"/>
    </row>
    <row r="19" spans="1:33" ht="7.2" customHeight="1" thickBot="1" x14ac:dyDescent="0.35">
      <c r="A19" s="163"/>
      <c r="B19" s="50"/>
      <c r="C19" s="150"/>
      <c r="D19" s="145"/>
      <c r="E19" s="146"/>
      <c r="F19" s="146"/>
      <c r="G19" s="149"/>
      <c r="H19" s="113"/>
      <c r="I19" s="85"/>
      <c r="J19" s="93"/>
      <c r="K19" s="175"/>
      <c r="L19" s="177"/>
      <c r="M19" s="54"/>
      <c r="N19" s="54"/>
      <c r="O19" s="55"/>
      <c r="P19" s="55"/>
      <c r="Q19" s="35"/>
      <c r="R19" s="35"/>
      <c r="S19" s="191"/>
      <c r="T19" s="193"/>
      <c r="U19" s="188"/>
      <c r="V19" s="189"/>
      <c r="W19" s="190"/>
      <c r="X19" s="190"/>
      <c r="Y19" s="189"/>
      <c r="Z19" s="188"/>
      <c r="AA19" s="189"/>
      <c r="AB19" s="191"/>
      <c r="AC19" s="200"/>
      <c r="AF19" s="192"/>
      <c r="AG19" s="191"/>
    </row>
    <row r="20" spans="1:33" s="202" customFormat="1" ht="31.2" customHeight="1" thickBot="1" x14ac:dyDescent="0.3">
      <c r="A20" s="164"/>
      <c r="B20" s="127" t="s">
        <v>131</v>
      </c>
      <c r="C20" s="220" t="s">
        <v>132</v>
      </c>
      <c r="D20" s="220"/>
      <c r="E20" s="220"/>
      <c r="F20" s="220"/>
      <c r="G20" s="221"/>
      <c r="H20" s="128"/>
      <c r="I20" s="128"/>
      <c r="J20" s="128"/>
      <c r="K20" s="178">
        <f>SUM(K13,K14,K12,K6)</f>
        <v>84</v>
      </c>
      <c r="L20" s="179" t="s">
        <v>4</v>
      </c>
      <c r="M20" s="56"/>
      <c r="N20" s="56"/>
      <c r="O20" s="57"/>
      <c r="P20" s="57"/>
      <c r="Q20" s="36"/>
      <c r="R20" s="36"/>
      <c r="S20" s="191"/>
      <c r="T20" s="193"/>
      <c r="U20" s="191"/>
      <c r="V20" s="197"/>
      <c r="W20" s="187"/>
      <c r="X20" s="187"/>
      <c r="Y20" s="197"/>
      <c r="Z20" s="187"/>
      <c r="AA20" s="197"/>
      <c r="AB20" s="198"/>
      <c r="AC20" s="187"/>
      <c r="AD20" s="187"/>
      <c r="AE20" s="187"/>
      <c r="AF20" s="198"/>
      <c r="AG20" s="191"/>
    </row>
  </sheetData>
  <sheetProtection algorithmName="SHA-512" hashValue="w26wfTgdMHliettgv36+dpw+i0beNjJ7468wWTIR1kXOZKcVHSVLI6u6olZUYkKyEQ4jLFy57EYAeDbbPjk+mg==" saltValue="/R98F20YKAxeZeb7o4D+LA==" spinCount="100000" sheet="1" objects="1" scenarios="1"/>
  <mergeCells count="27">
    <mergeCell ref="C20:G20"/>
    <mergeCell ref="D12:J12"/>
    <mergeCell ref="P1:Q2"/>
    <mergeCell ref="X3:X5"/>
    <mergeCell ref="S3:S5"/>
    <mergeCell ref="K2:K5"/>
    <mergeCell ref="L2:L5"/>
    <mergeCell ref="H2:H5"/>
    <mergeCell ref="I2:I5"/>
    <mergeCell ref="J3:J5"/>
    <mergeCell ref="Y3:Y5"/>
    <mergeCell ref="Z3:Z5"/>
    <mergeCell ref="AA3:AA5"/>
    <mergeCell ref="AB3:AB5"/>
    <mergeCell ref="T3:T5"/>
    <mergeCell ref="U3:U5"/>
    <mergeCell ref="V3:V5"/>
    <mergeCell ref="W3:W5"/>
    <mergeCell ref="B10:B11"/>
    <mergeCell ref="B3:B5"/>
    <mergeCell ref="C3:C5"/>
    <mergeCell ref="B1:C2"/>
    <mergeCell ref="D1:G1"/>
    <mergeCell ref="D2:D5"/>
    <mergeCell ref="E2:E5"/>
    <mergeCell ref="F2:F5"/>
    <mergeCell ref="G2:G5"/>
  </mergeCells>
  <conditionalFormatting sqref="J7">
    <cfRule type="iconSet" priority="59">
      <iconSet iconSet="3Symbols2">
        <cfvo type="percent" val="0"/>
        <cfvo type="num" val="0" gte="0"/>
        <cfvo type="num" val="1"/>
      </iconSet>
    </cfRule>
  </conditionalFormatting>
  <conditionalFormatting sqref="E13">
    <cfRule type="iconSet" priority="52">
      <iconSet iconSet="3Symbols2">
        <cfvo type="percent" val="0"/>
        <cfvo type="num" val="0" gte="0"/>
        <cfvo type="num" val="1"/>
      </iconSet>
    </cfRule>
  </conditionalFormatting>
  <conditionalFormatting sqref="L12">
    <cfRule type="cellIs" dxfId="16" priority="35" operator="lessThan">
      <formula>1</formula>
    </cfRule>
  </conditionalFormatting>
  <conditionalFormatting sqref="C11">
    <cfRule type="cellIs" dxfId="15" priority="28" operator="equal">
      <formula>"je overschrijdt de bemestingsnorm!"</formula>
    </cfRule>
  </conditionalFormatting>
  <conditionalFormatting sqref="E11">
    <cfRule type="cellIs" dxfId="14" priority="26" operator="greaterThan">
      <formula>$O$4</formula>
    </cfRule>
  </conditionalFormatting>
  <conditionalFormatting sqref="G11">
    <cfRule type="cellIs" dxfId="13" priority="25" operator="greaterThan">
      <formula>$O$5</formula>
    </cfRule>
  </conditionalFormatting>
  <conditionalFormatting sqref="C13">
    <cfRule type="expression" dxfId="12" priority="23">
      <formula>$F$7=0</formula>
    </cfRule>
    <cfRule type="expression" dxfId="11" priority="24">
      <formula>$F$7=1</formula>
    </cfRule>
  </conditionalFormatting>
  <conditionalFormatting sqref="D12:J12">
    <cfRule type="expression" dxfId="10" priority="21">
      <formula>$L$12&lt;1</formula>
    </cfRule>
  </conditionalFormatting>
  <conditionalFormatting sqref="E15">
    <cfRule type="iconSet" priority="19">
      <iconSet iconSet="3Symbols2">
        <cfvo type="percent" val="0"/>
        <cfvo type="num" val="0" gte="0"/>
        <cfvo type="num" val="1"/>
      </iconSet>
    </cfRule>
  </conditionalFormatting>
  <conditionalFormatting sqref="E16">
    <cfRule type="iconSet" priority="17">
      <iconSet iconSet="3Symbols2">
        <cfvo type="percent" val="0"/>
        <cfvo type="num" val="0" gte="0"/>
        <cfvo type="num" val="1"/>
      </iconSet>
    </cfRule>
  </conditionalFormatting>
  <conditionalFormatting sqref="E17 E19">
    <cfRule type="iconSet" priority="9">
      <iconSet iconSet="3Symbols2">
        <cfvo type="percent" val="0"/>
        <cfvo type="num" val="0" gte="0"/>
        <cfvo type="num" val="1"/>
      </iconSet>
    </cfRule>
  </conditionalFormatting>
  <conditionalFormatting sqref="E18">
    <cfRule type="iconSet" priority="6">
      <iconSet iconSet="3Symbols2">
        <cfvo type="percent" val="0"/>
        <cfvo type="num" val="0" gte="0"/>
        <cfvo type="num" val="1"/>
      </iconSet>
    </cfRule>
  </conditionalFormatting>
  <dataValidations count="2">
    <dataValidation type="list" showInputMessage="1" showErrorMessage="1" error="je kan enkel kiezen uit de lijst" promptTitle="kies kalksoort" sqref="M8:N8">
      <formula1>$H$9:$H$40</formula1>
    </dataValidation>
    <dataValidation type="list" showInputMessage="1" showErrorMessage="1" error="je kan enkel kiezen uit de lijst" promptTitle="kies kalksoort" sqref="M7:N7">
      <formula1>$M$9:$M$20</formula1>
    </dataValidation>
  </dataValidations>
  <hyperlinks>
    <hyperlink ref="C18" r:id="rId1"/>
  </hyperlinks>
  <pageMargins left="0.25" right="0.25" top="0.75" bottom="0.75" header="0.3" footer="0.3"/>
  <pageSetup paperSize="9" scale="73" orientation="landscape" r:id="rId2"/>
  <drawing r:id="rId3"/>
  <legacyDrawing r:id="rId4"/>
  <mc:AlternateContent xmlns:mc="http://schemas.openxmlformats.org/markup-compatibility/2006">
    <mc:Choice Requires="x14">
      <controls>
        <mc:AlternateContent xmlns:mc="http://schemas.openxmlformats.org/markup-compatibility/2006">
          <mc:Choice Requires="x14">
            <control shapeId="4100" r:id="rId5" name="Check Box 4">
              <controlPr locked="0" defaultSize="0" autoFill="0" autoLine="0" autoPict="0">
                <anchor moveWithCells="1">
                  <from>
                    <xdr:col>1</xdr:col>
                    <xdr:colOff>22860</xdr:colOff>
                    <xdr:row>5</xdr:row>
                    <xdr:rowOff>22860</xdr:rowOff>
                  </from>
                  <to>
                    <xdr:col>1</xdr:col>
                    <xdr:colOff>1379220</xdr:colOff>
                    <xdr:row>5</xdr:row>
                    <xdr:rowOff>373380</xdr:rowOff>
                  </to>
                </anchor>
              </controlPr>
            </control>
          </mc:Choice>
        </mc:AlternateContent>
        <mc:AlternateContent xmlns:mc="http://schemas.openxmlformats.org/markup-compatibility/2006">
          <mc:Choice Requires="x14">
            <control shapeId="4106" r:id="rId6" name="Check Box 10">
              <controlPr locked="0" defaultSize="0" autoFill="0" autoLine="0" autoPict="0" altText="GROENBEMESTER">
                <anchor moveWithCells="1">
                  <from>
                    <xdr:col>1</xdr:col>
                    <xdr:colOff>22860</xdr:colOff>
                    <xdr:row>6</xdr:row>
                    <xdr:rowOff>22860</xdr:rowOff>
                  </from>
                  <to>
                    <xdr:col>1</xdr:col>
                    <xdr:colOff>1379220</xdr:colOff>
                    <xdr:row>6</xdr:row>
                    <xdr:rowOff>411480</xdr:rowOff>
                  </to>
                </anchor>
              </controlPr>
            </control>
          </mc:Choice>
        </mc:AlternateContent>
        <mc:AlternateContent xmlns:mc="http://schemas.openxmlformats.org/markup-compatibility/2006">
          <mc:Choice Requires="x14">
            <control shapeId="4110" r:id="rId7" name="Check Box 14">
              <controlPr locked="0" defaultSize="0" autoFill="0" autoLine="0" autoPict="0" altText="Oogstrest teelt">
                <anchor moveWithCells="1">
                  <from>
                    <xdr:col>1</xdr:col>
                    <xdr:colOff>22860</xdr:colOff>
                    <xdr:row>7</xdr:row>
                    <xdr:rowOff>22860</xdr:rowOff>
                  </from>
                  <to>
                    <xdr:col>1</xdr:col>
                    <xdr:colOff>1379220</xdr:colOff>
                    <xdr:row>7</xdr:row>
                    <xdr:rowOff>373380</xdr:rowOff>
                  </to>
                </anchor>
              </controlPr>
            </control>
          </mc:Choice>
        </mc:AlternateContent>
        <mc:AlternateContent xmlns:mc="http://schemas.openxmlformats.org/markup-compatibility/2006">
          <mc:Choice Requires="x14">
            <control shapeId="4113" r:id="rId8" name="Check Box 17">
              <controlPr locked="0" defaultSize="0" autoFill="0" autoLine="0" autoPict="0" altText="C-rijk materiaal">
                <anchor moveWithCells="1">
                  <from>
                    <xdr:col>1</xdr:col>
                    <xdr:colOff>38100</xdr:colOff>
                    <xdr:row>8</xdr:row>
                    <xdr:rowOff>38100</xdr:rowOff>
                  </from>
                  <to>
                    <xdr:col>1</xdr:col>
                    <xdr:colOff>1935480</xdr:colOff>
                    <xdr:row>8</xdr:row>
                    <xdr:rowOff>365760</xdr:rowOff>
                  </to>
                </anchor>
              </controlPr>
            </control>
          </mc:Choice>
        </mc:AlternateContent>
        <mc:AlternateContent xmlns:mc="http://schemas.openxmlformats.org/markup-compatibility/2006">
          <mc:Choice Requires="x14">
            <control shapeId="4116" r:id="rId9" name="Check Box 20">
              <controlPr locked="0" defaultSize="0" autoFill="0" autoLine="0" autoPict="0" altText="C-rijke bemesting">
                <anchor moveWithCells="1">
                  <from>
                    <xdr:col>1</xdr:col>
                    <xdr:colOff>30480</xdr:colOff>
                    <xdr:row>9</xdr:row>
                    <xdr:rowOff>30480</xdr:rowOff>
                  </from>
                  <to>
                    <xdr:col>1</xdr:col>
                    <xdr:colOff>2164080</xdr:colOff>
                    <xdr:row>9</xdr:row>
                    <xdr:rowOff>342900</xdr:rowOff>
                  </to>
                </anchor>
              </controlPr>
            </control>
          </mc:Choice>
        </mc:AlternateContent>
        <mc:AlternateContent xmlns:mc="http://schemas.openxmlformats.org/markup-compatibility/2006">
          <mc:Choice Requires="x14">
            <control shapeId="4121" r:id="rId10" name="Check Box 25">
              <controlPr locked="0" defaultSize="0" autoFill="0" autoLine="0" autoPict="0" altText="C-rijke bemesting">
                <anchor moveWithCells="1">
                  <from>
                    <xdr:col>1</xdr:col>
                    <xdr:colOff>30480</xdr:colOff>
                    <xdr:row>12</xdr:row>
                    <xdr:rowOff>30480</xdr:rowOff>
                  </from>
                  <to>
                    <xdr:col>1</xdr:col>
                    <xdr:colOff>1943100</xdr:colOff>
                    <xdr:row>12</xdr:row>
                    <xdr:rowOff>342900</xdr:rowOff>
                  </to>
                </anchor>
              </controlPr>
            </control>
          </mc:Choice>
        </mc:AlternateContent>
        <mc:AlternateContent xmlns:mc="http://schemas.openxmlformats.org/markup-compatibility/2006">
          <mc:Choice Requires="x14">
            <control shapeId="4125" r:id="rId11" name="Check Box 29">
              <controlPr locked="0" defaultSize="0" autoFill="0" autoLine="0" autoPict="0" altText="drainage">
                <anchor moveWithCells="1">
                  <from>
                    <xdr:col>1</xdr:col>
                    <xdr:colOff>30480</xdr:colOff>
                    <xdr:row>13</xdr:row>
                    <xdr:rowOff>30480</xdr:rowOff>
                  </from>
                  <to>
                    <xdr:col>1</xdr:col>
                    <xdr:colOff>1943100</xdr:colOff>
                    <xdr:row>13</xdr:row>
                    <xdr:rowOff>342900</xdr:rowOff>
                  </to>
                </anchor>
              </controlPr>
            </control>
          </mc:Choice>
        </mc:AlternateContent>
        <mc:AlternateContent xmlns:mc="http://schemas.openxmlformats.org/markup-compatibility/2006">
          <mc:Choice Requires="x14">
            <control shapeId="4127" r:id="rId12" name="Check Box 31">
              <controlPr locked="0" defaultSize="0" autoFill="0" autoLine="0" autoPict="0" altText="drukwisselsysteem">
                <anchor moveWithCells="1">
                  <from>
                    <xdr:col>1</xdr:col>
                    <xdr:colOff>30480</xdr:colOff>
                    <xdr:row>14</xdr:row>
                    <xdr:rowOff>30480</xdr:rowOff>
                  </from>
                  <to>
                    <xdr:col>1</xdr:col>
                    <xdr:colOff>1943100</xdr:colOff>
                    <xdr:row>14</xdr:row>
                    <xdr:rowOff>342900</xdr:rowOff>
                  </to>
                </anchor>
              </controlPr>
            </control>
          </mc:Choice>
        </mc:AlternateContent>
        <mc:AlternateContent xmlns:mc="http://schemas.openxmlformats.org/markup-compatibility/2006">
          <mc:Choice Requires="x14">
            <control shapeId="4128" r:id="rId13" name="Check Box 32">
              <controlPr locked="0" defaultSize="0" autoFill="0" autoLine="0" autoPict="0" altText="drainage">
                <anchor moveWithCells="1">
                  <from>
                    <xdr:col>1</xdr:col>
                    <xdr:colOff>30480</xdr:colOff>
                    <xdr:row>15</xdr:row>
                    <xdr:rowOff>30480</xdr:rowOff>
                  </from>
                  <to>
                    <xdr:col>1</xdr:col>
                    <xdr:colOff>1943100</xdr:colOff>
                    <xdr:row>15</xdr:row>
                    <xdr:rowOff>342900</xdr:rowOff>
                  </to>
                </anchor>
              </controlPr>
            </control>
          </mc:Choice>
        </mc:AlternateContent>
        <mc:AlternateContent xmlns:mc="http://schemas.openxmlformats.org/markup-compatibility/2006">
          <mc:Choice Requires="x14">
            <control shapeId="4136" r:id="rId14" name="Check Box 40">
              <controlPr defaultSize="0" autoFill="0" autoLine="0" autoPict="0">
                <anchor moveWithCells="1">
                  <from>
                    <xdr:col>1</xdr:col>
                    <xdr:colOff>7620</xdr:colOff>
                    <xdr:row>16</xdr:row>
                    <xdr:rowOff>45720</xdr:rowOff>
                  </from>
                  <to>
                    <xdr:col>1</xdr:col>
                    <xdr:colOff>2103120</xdr:colOff>
                    <xdr:row>17</xdr:row>
                    <xdr:rowOff>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60" id="{859D9DBA-07EE-437D-BA1F-E856A5548D14}">
            <x14:iconSet iconSet="3Symbols2" showValue="0" custom="1">
              <x14:cfvo type="percent">
                <xm:f>0</xm:f>
              </x14:cfvo>
              <x14:cfvo type="num">
                <xm:f>0</xm:f>
              </x14:cfvo>
              <x14:cfvo type="num">
                <xm:f>1</xm:f>
              </x14:cfvo>
              <x14:cfIcon iconSet="NoIcons" iconId="0"/>
              <x14:cfIcon iconSet="3Symbols2" iconId="0"/>
              <x14:cfIcon iconSet="3Symbols2" iconId="2"/>
            </x14:iconSet>
          </x14:cfRule>
          <xm:sqref>D6</xm:sqref>
        </x14:conditionalFormatting>
        <x14:conditionalFormatting xmlns:xm="http://schemas.microsoft.com/office/excel/2006/main">
          <x14:cfRule type="iconSet" priority="43" id="{DB855662-DEDB-45F5-96BA-FC64B34CB38E}">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F7</xm:sqref>
        </x14:conditionalFormatting>
        <x14:conditionalFormatting xmlns:xm="http://schemas.microsoft.com/office/excel/2006/main">
          <x14:cfRule type="iconSet" priority="42" id="{420F1F9F-ED56-4A97-A888-23721147812C}">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E7</xm:sqref>
        </x14:conditionalFormatting>
        <x14:conditionalFormatting xmlns:xm="http://schemas.microsoft.com/office/excel/2006/main">
          <x14:cfRule type="iconSet" priority="41" id="{5C915B33-2EA9-4B2D-AF77-72F7AD60C5A8}">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E8</xm:sqref>
        </x14:conditionalFormatting>
        <x14:conditionalFormatting xmlns:xm="http://schemas.microsoft.com/office/excel/2006/main">
          <x14:cfRule type="iconSet" priority="40" id="{4F8CF011-DD00-48C8-8A56-B4B9144F00FD}">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E9</xm:sqref>
        </x14:conditionalFormatting>
        <x14:conditionalFormatting xmlns:xm="http://schemas.microsoft.com/office/excel/2006/main">
          <x14:cfRule type="iconSet" priority="39" id="{161E9BBE-C539-408B-AACC-05C65C084261}">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E10</xm:sqref>
        </x14:conditionalFormatting>
        <x14:conditionalFormatting xmlns:xm="http://schemas.microsoft.com/office/excel/2006/main">
          <x14:cfRule type="iconSet" priority="38" id="{6C6DE38B-1EB2-47B5-91AD-270C8FD10E18}">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F13</xm:sqref>
        </x14:conditionalFormatting>
        <x14:conditionalFormatting xmlns:xm="http://schemas.microsoft.com/office/excel/2006/main">
          <x14:cfRule type="iconSet" priority="34" id="{96C07A01-FFE0-4212-BF9C-5A5EBD68EAC5}">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H6</xm:sqref>
        </x14:conditionalFormatting>
        <x14:conditionalFormatting xmlns:xm="http://schemas.microsoft.com/office/excel/2006/main">
          <x14:cfRule type="iconSet" priority="33" id="{1EBD9728-1FD3-4822-92FB-E72DD4F24429}">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J9:J10</xm:sqref>
        </x14:conditionalFormatting>
        <x14:conditionalFormatting xmlns:xm="http://schemas.microsoft.com/office/excel/2006/main">
          <x14:cfRule type="iconSet" priority="16" id="{1AA03902-5C62-4045-BEFA-DDC5E1B99142}">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F15:F16</xm:sqref>
        </x14:conditionalFormatting>
        <x14:conditionalFormatting xmlns:xm="http://schemas.microsoft.com/office/excel/2006/main">
          <x14:cfRule type="iconSet" priority="66" id="{5FEDB554-745F-414B-B642-E9709C2D8464}">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F14</xm:sqref>
        </x14:conditionalFormatting>
        <x14:conditionalFormatting xmlns:xm="http://schemas.microsoft.com/office/excel/2006/main">
          <x14:cfRule type="iconSet" priority="15" id="{14AB70CD-2C56-4749-8584-9F4492D03590}">
            <x14:iconSet iconSet="3Symbols2" showValue="0" custom="1">
              <x14:cfvo type="percent">
                <xm:f>0</xm:f>
              </x14:cfvo>
              <x14:cfvo type="num">
                <xm:f>0</xm:f>
              </x14:cfvo>
              <x14:cfvo type="num">
                <xm:f>1</xm:f>
              </x14:cfvo>
              <x14:cfIcon iconSet="3Symbols2" iconId="1"/>
              <x14:cfIcon iconSet="3Symbols2" iconId="0"/>
              <x14:cfIcon iconSet="3Symbols2" iconId="2"/>
            </x14:iconSet>
          </x14:cfRule>
          <xm:sqref>G7</xm:sqref>
        </x14:conditionalFormatting>
        <x14:conditionalFormatting xmlns:xm="http://schemas.microsoft.com/office/excel/2006/main">
          <x14:cfRule type="iconSet" priority="14" id="{4E7F29FE-E07F-401F-B850-CB4E9DE87536}">
            <x14:iconSet iconSet="3Symbols2" showValue="0" custom="1">
              <x14:cfvo type="percent">
                <xm:f>0</xm:f>
              </x14:cfvo>
              <x14:cfvo type="num">
                <xm:f>0</xm:f>
              </x14:cfvo>
              <x14:cfvo type="num">
                <xm:f>1</xm:f>
              </x14:cfvo>
              <x14:cfIcon iconSet="NoIcons" iconId="0"/>
              <x14:cfIcon iconSet="3Symbols2" iconId="0"/>
              <x14:cfIcon iconSet="NoIcons" iconId="0"/>
            </x14:iconSet>
          </x14:cfRule>
          <xm:sqref>E14</xm:sqref>
        </x14:conditionalFormatting>
        <x14:conditionalFormatting xmlns:xm="http://schemas.microsoft.com/office/excel/2006/main">
          <x14:cfRule type="iconSet" priority="13" id="{4C554DF5-A806-4DFF-8080-F1E70D2768B7}">
            <x14:iconSet iconSet="3Symbols2" showValue="0" custom="1">
              <x14:cfvo type="percent">
                <xm:f>0</xm:f>
              </x14:cfvo>
              <x14:cfvo type="num">
                <xm:f>0</xm:f>
              </x14:cfvo>
              <x14:cfvo type="num">
                <xm:f>1</xm:f>
              </x14:cfvo>
              <x14:cfIcon iconSet="NoIcons" iconId="0"/>
              <x14:cfIcon iconSet="NoIcons" iconId="0"/>
              <x14:cfIcon iconSet="3Symbols2" iconId="2"/>
            </x14:iconSet>
          </x14:cfRule>
          <xm:sqref>G15</xm:sqref>
        </x14:conditionalFormatting>
        <x14:conditionalFormatting xmlns:xm="http://schemas.microsoft.com/office/excel/2006/main">
          <x14:cfRule type="iconSet" priority="12" id="{5FD8E10D-AADB-4FBD-92F9-0D3831A49A21}">
            <x14:iconSet iconSet="3Symbols2" showValue="0" custom="1">
              <x14:cfvo type="percent">
                <xm:f>0</xm:f>
              </x14:cfvo>
              <x14:cfvo type="num" gte="0">
                <xm:f>0</xm:f>
              </x14:cfvo>
              <x14:cfvo type="num">
                <xm:f>1</xm:f>
              </x14:cfvo>
              <x14:cfIcon iconSet="NoIcons" iconId="0"/>
              <x14:cfIcon iconSet="NoIcons" iconId="0"/>
              <x14:cfIcon iconSet="3Symbols2" iconId="2"/>
            </x14:iconSet>
          </x14:cfRule>
          <xm:sqref>D8:D10</xm:sqref>
        </x14:conditionalFormatting>
        <x14:conditionalFormatting xmlns:xm="http://schemas.microsoft.com/office/excel/2006/main">
          <x14:cfRule type="iconSet" priority="8" id="{4FE58EBA-D128-4352-9847-9413BFE89B7A}">
            <x14:iconSet iconSet="3Symbols2" showValue="0" custom="1">
              <x14:cfvo type="percent">
                <xm:f>0</xm:f>
              </x14:cfvo>
              <x14:cfvo type="num">
                <xm:f>0</xm:f>
              </x14:cfvo>
              <x14:cfvo type="num">
                <xm:f>1</xm:f>
              </x14:cfvo>
              <x14:cfIcon iconSet="NoIcons" iconId="0"/>
              <x14:cfIcon iconSet="3Symbols2" iconId="0"/>
              <x14:cfIcon iconSet="3Symbols2" iconId="2"/>
            </x14:iconSet>
          </x14:cfRule>
          <xm:sqref>F17 F19</xm:sqref>
        </x14:conditionalFormatting>
        <x14:conditionalFormatting xmlns:xm="http://schemas.microsoft.com/office/excel/2006/main">
          <x14:cfRule type="iconSet" priority="7" id="{EDD433ED-0225-45AA-9083-76BC84D26647}">
            <x14:iconSet iconSet="3Symbols2" showValue="0" custom="1">
              <x14:cfvo type="percent">
                <xm:f>0</xm:f>
              </x14:cfvo>
              <x14:cfvo type="num">
                <xm:f>0</xm:f>
              </x14:cfvo>
              <x14:cfvo type="num">
                <xm:f>1</xm:f>
              </x14:cfvo>
              <x14:cfIcon iconSet="NoIcons" iconId="0"/>
              <x14:cfIcon iconSet="3Symbols2" iconId="0"/>
              <x14:cfIcon iconSet="3Symbols2" iconId="2"/>
            </x14:iconSet>
          </x14:cfRule>
          <xm:sqref>G19</xm:sqref>
        </x14:conditionalFormatting>
        <x14:conditionalFormatting xmlns:xm="http://schemas.microsoft.com/office/excel/2006/main">
          <x14:cfRule type="iconSet" priority="5" id="{0CFA1422-551E-4E1B-B0C8-FA5A1F613E20}">
            <x14:iconSet iconSet="3Symbols2" showValue="0" custom="1">
              <x14:cfvo type="percent">
                <xm:f>0</xm:f>
              </x14:cfvo>
              <x14:cfvo type="num">
                <xm:f>0</xm:f>
              </x14:cfvo>
              <x14:cfvo type="num">
                <xm:f>1</xm:f>
              </x14:cfvo>
              <x14:cfIcon iconSet="NoIcons" iconId="0"/>
              <x14:cfIcon iconSet="3Symbols2" iconId="0"/>
              <x14:cfIcon iconSet="3Symbols2" iconId="2"/>
            </x14:iconSet>
          </x14:cfRule>
          <xm:sqref>F18</xm:sqref>
        </x14:conditionalFormatting>
        <x14:conditionalFormatting xmlns:xm="http://schemas.microsoft.com/office/excel/2006/main">
          <x14:cfRule type="iconSet" priority="4" id="{B8E03F44-C1C3-448A-AFBF-0A3114F003D7}">
            <x14:iconSet iconSet="3Symbols2" showValue="0" custom="1">
              <x14:cfvo type="percent">
                <xm:f>0</xm:f>
              </x14:cfvo>
              <x14:cfvo type="num">
                <xm:f>0</xm:f>
              </x14:cfvo>
              <x14:cfvo type="num">
                <xm:f>1</xm:f>
              </x14:cfvo>
              <x14:cfIcon iconSet="NoIcons" iconId="0"/>
              <x14:cfIcon iconSet="3Symbols2" iconId="0"/>
              <x14:cfIcon iconSet="3Symbols2" iconId="2"/>
            </x14:iconSet>
          </x14:cfRule>
          <xm:sqref>G18</xm:sqref>
        </x14:conditionalFormatting>
        <x14:conditionalFormatting xmlns:xm="http://schemas.microsoft.com/office/excel/2006/main">
          <x14:cfRule type="iconSet" priority="3" id="{C378BD1F-DE58-4128-ABD8-87087710AEFC}">
            <x14:iconSet iconSet="3Symbols2" showValue="0" custom="1">
              <x14:cfvo type="percent">
                <xm:f>0</xm:f>
              </x14:cfvo>
              <x14:cfvo type="num">
                <xm:f>0</xm:f>
              </x14:cfvo>
              <x14:cfvo type="num">
                <xm:f>1</xm:f>
              </x14:cfvo>
              <x14:cfIcon iconSet="NoIcons" iconId="0"/>
              <x14:cfIcon iconSet="NoIcons" iconId="0"/>
              <x14:cfIcon iconSet="3Symbols2" iconId="0"/>
            </x14:iconSet>
          </x14:cfRule>
          <xm:sqref>E6</xm:sqref>
        </x14:conditionalFormatting>
        <x14:conditionalFormatting xmlns:xm="http://schemas.microsoft.com/office/excel/2006/main">
          <x14:cfRule type="iconSet" priority="2" id="{B4247701-B160-4EC2-9BD0-52437B797AB8}">
            <x14:iconSet iconSet="3Symbols2" showValue="0" custom="1">
              <x14:cfvo type="percent">
                <xm:f>0</xm:f>
              </x14:cfvo>
              <x14:cfvo type="num">
                <xm:f>0</xm:f>
              </x14:cfvo>
              <x14:cfvo type="num">
                <xm:f>1</xm:f>
              </x14:cfvo>
              <x14:cfIcon iconSet="NoIcons" iconId="0"/>
              <x14:cfIcon iconSet="3Symbols2" iconId="0"/>
              <x14:cfIcon iconSet="3Symbols2" iconId="2"/>
            </x14:iconSet>
          </x14:cfRule>
          <xm:sqref>G6</xm:sqref>
        </x14:conditionalFormatting>
        <x14:conditionalFormatting xmlns:xm="http://schemas.microsoft.com/office/excel/2006/main">
          <x14:cfRule type="iconSet" priority="1" id="{A5817007-06BF-462D-BE9B-34B195059C5F}">
            <x14:iconSet iconSet="3Symbols2" showValue="0" custom="1">
              <x14:cfvo type="percent">
                <xm:f>0</xm:f>
              </x14:cfvo>
              <x14:cfvo type="num">
                <xm:f>0</xm:f>
              </x14:cfvo>
              <x14:cfvo type="num">
                <xm:f>1</xm:f>
              </x14:cfvo>
              <x14:cfIcon iconSet="NoIcons" iconId="0"/>
              <x14:cfIcon iconSet="NoIcons" iconId="0"/>
              <x14:cfIcon iconSet="3Symbols2" iconId="2"/>
            </x14:iconSet>
          </x14:cfRule>
          <xm:sqref>G17</xm:sqref>
        </x14:conditionalFormatting>
      </x14:conditionalFormattings>
    </ext>
    <ext xmlns:x14="http://schemas.microsoft.com/office/spreadsheetml/2009/9/main" uri="{CCE6A557-97BC-4b89-ADB6-D9C93CAAB3DF}">
      <x14:dataValidations xmlns:xm="http://schemas.microsoft.com/office/excel/2006/main" count="7">
        <x14:dataValidation type="list" showInputMessage="1" showErrorMessage="1" error="je kan enkel kiezen uit de lijst" promptTitle="kies kalksoort">
          <x14:formula1>
            <xm:f>tabellen!$Z$10:$Z$25</xm:f>
          </x14:formula1>
          <xm:sqref>H9</xm:sqref>
        </x14:dataValidation>
        <x14:dataValidation type="list" showInputMessage="1" showErrorMessage="1" error="je kan enkel kiezen uit de lijst" promptTitle="kies kalksoort">
          <x14:formula1>
            <xm:f>tabellen!$A$10:$A$11</xm:f>
          </x14:formula1>
          <xm:sqref>H6 M6</xm:sqref>
        </x14:dataValidation>
        <x14:dataValidation type="list" showInputMessage="1" showErrorMessage="1" error="je kan enkel kiezen uit de lijst" promptTitle="kies kalksoort">
          <x14:formula1>
            <xm:f>tabellen!$Z$10:$Z$26</xm:f>
          </x14:formula1>
          <xm:sqref>M9:N9</xm:sqref>
        </x14:dataValidation>
        <x14:dataValidation type="list" showInputMessage="1" showErrorMessage="1" error="je kan enkel kiezen uit de lijst" promptTitle="kies kalksoort">
          <x14:formula1>
            <xm:f>tabellen!$AN$10:$AN$20</xm:f>
          </x14:formula1>
          <xm:sqref>H10</xm:sqref>
        </x14:dataValidation>
        <x14:dataValidation type="list" showInputMessage="1" showErrorMessage="1" error="je kan enkel kiezen uit de lijst" promptTitle="kies kalksoort">
          <x14:formula1>
            <xm:f>tabellen!$AN$10:$AN$32</xm:f>
          </x14:formula1>
          <xm:sqref>M10:N10</xm:sqref>
        </x14:dataValidation>
        <x14:dataValidation type="list" showInputMessage="1" showErrorMessage="1" error="je kan enkel kiezen uit de lijst" promptTitle="kies kalksoort">
          <x14:formula1>
            <xm:f>tabellen!$G$10:$G$69</xm:f>
          </x14:formula1>
          <xm:sqref>H8</xm:sqref>
        </x14:dataValidation>
        <x14:dataValidation type="list" showInputMessage="1" showErrorMessage="1" error="je kan enkel kiezen uit de lijst" promptTitle="kies kalksoort">
          <x14:formula1>
            <xm:f>tabellen!$M$10:$M$22</xm:f>
          </x14:formula1>
          <xm:sqref>H7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U64"/>
  <sheetViews>
    <sheetView topLeftCell="M4" zoomScaleNormal="100" workbookViewId="0">
      <selection activeCell="O13" sqref="O13"/>
    </sheetView>
  </sheetViews>
  <sheetFormatPr defaultRowHeight="13.2" x14ac:dyDescent="0.25"/>
  <cols>
    <col min="1" max="1" width="16.5546875" customWidth="1"/>
    <col min="2" max="2" width="9.88671875" customWidth="1"/>
    <col min="3" max="3" width="12.44140625" customWidth="1"/>
    <col min="4" max="4" width="13.109375" customWidth="1"/>
    <col min="5" max="5" width="19.109375" style="1" customWidth="1"/>
    <col min="7" max="7" width="19.6640625" customWidth="1"/>
    <col min="12" max="12" width="8.88671875" style="10"/>
    <col min="13" max="14" width="17.5546875" customWidth="1"/>
    <col min="15" max="15" width="12" customWidth="1"/>
    <col min="25" max="25" width="6.6640625" customWidth="1"/>
    <col min="26" max="26" width="14.5546875" customWidth="1"/>
    <col min="27" max="27" width="10.44140625" customWidth="1"/>
    <col min="28" max="28" width="7.6640625" customWidth="1"/>
    <col min="29" max="29" width="9.44140625" customWidth="1"/>
    <col min="35" max="35" width="10.6640625" bestFit="1" customWidth="1"/>
    <col min="40" max="40" width="27.109375" customWidth="1"/>
    <col min="41" max="41" width="10.44140625" customWidth="1"/>
    <col min="42" max="42" width="7.6640625" customWidth="1"/>
    <col min="43" max="43" width="14" customWidth="1"/>
    <col min="50" max="50" width="10.5546875" bestFit="1" customWidth="1"/>
    <col min="51" max="51" width="10.88671875" bestFit="1" customWidth="1"/>
    <col min="52" max="52" width="10.88671875" customWidth="1"/>
    <col min="54" max="54" width="18" customWidth="1"/>
    <col min="55" max="55" width="10.33203125" customWidth="1"/>
    <col min="70" max="70" width="25.109375" customWidth="1"/>
    <col min="71" max="73" width="16.33203125" customWidth="1"/>
  </cols>
  <sheetData>
    <row r="1" spans="1:73" x14ac:dyDescent="0.25">
      <c r="G1" s="7"/>
      <c r="M1" s="7"/>
      <c r="N1" s="7"/>
      <c r="AC1" s="7"/>
      <c r="AJ1" s="34">
        <f>toolbox!$O$4</f>
        <v>170</v>
      </c>
      <c r="AK1" s="34">
        <f>toolbox!$O$5</f>
        <v>70</v>
      </c>
      <c r="AL1" s="34"/>
      <c r="AX1" s="34">
        <f>toolbox!$O$4</f>
        <v>170</v>
      </c>
      <c r="AY1" s="34">
        <f>toolbox!O5</f>
        <v>70</v>
      </c>
      <c r="AZ1" s="34"/>
    </row>
    <row r="2" spans="1:73" x14ac:dyDescent="0.25">
      <c r="A2" t="s">
        <v>120</v>
      </c>
      <c r="B2" t="s">
        <v>121</v>
      </c>
      <c r="C2">
        <v>52</v>
      </c>
      <c r="D2" t="s">
        <v>4</v>
      </c>
      <c r="E2" s="1" t="s">
        <v>122</v>
      </c>
      <c r="G2" s="7"/>
      <c r="M2" t="s">
        <v>126</v>
      </c>
      <c r="P2">
        <v>60</v>
      </c>
      <c r="Q2" t="s">
        <v>4</v>
      </c>
      <c r="AC2" s="7"/>
      <c r="AN2" t="s">
        <v>136</v>
      </c>
      <c r="AR2">
        <v>3</v>
      </c>
      <c r="AS2" t="s">
        <v>4</v>
      </c>
      <c r="AT2" s="1" t="s">
        <v>209</v>
      </c>
      <c r="BF2" s="1"/>
    </row>
    <row r="3" spans="1:73" x14ac:dyDescent="0.25">
      <c r="G3" s="7"/>
      <c r="AC3" s="7"/>
      <c r="AR3">
        <v>150</v>
      </c>
      <c r="AS3" t="s">
        <v>185</v>
      </c>
      <c r="AT3" s="1" t="e">
        <f>ROUND(AX1/AR3*#REF!,0)</f>
        <v>#REF!</v>
      </c>
      <c r="AU3" t="s">
        <v>142</v>
      </c>
      <c r="BF3" s="1"/>
      <c r="BR3" s="7" t="s">
        <v>70</v>
      </c>
    </row>
    <row r="4" spans="1:73" x14ac:dyDescent="0.25">
      <c r="A4" t="s">
        <v>147</v>
      </c>
      <c r="G4" t="s">
        <v>158</v>
      </c>
      <c r="H4" s="7" t="s">
        <v>70</v>
      </c>
      <c r="M4" t="s">
        <v>161</v>
      </c>
      <c r="O4" s="7" t="s">
        <v>70</v>
      </c>
      <c r="Z4" t="s">
        <v>170</v>
      </c>
      <c r="AN4" t="s">
        <v>174</v>
      </c>
      <c r="AT4" s="1"/>
      <c r="BB4" t="s">
        <v>103</v>
      </c>
      <c r="BF4" s="1"/>
      <c r="BR4" s="230" t="s">
        <v>221</v>
      </c>
      <c r="BS4" s="230"/>
      <c r="BT4" s="230"/>
      <c r="BU4" s="230"/>
    </row>
    <row r="5" spans="1:73" x14ac:dyDescent="0.25">
      <c r="A5" t="s">
        <v>148</v>
      </c>
      <c r="G5" t="s">
        <v>159</v>
      </c>
      <c r="H5" s="7" t="s">
        <v>160</v>
      </c>
      <c r="M5" t="s">
        <v>159</v>
      </c>
      <c r="O5" s="7" t="s">
        <v>160</v>
      </c>
      <c r="Z5" t="s">
        <v>171</v>
      </c>
      <c r="AC5" s="7" t="s">
        <v>111</v>
      </c>
      <c r="AT5" s="1"/>
      <c r="BB5" t="s">
        <v>145</v>
      </c>
      <c r="BF5" s="1"/>
      <c r="BR5" s="230"/>
      <c r="BS5" s="230"/>
      <c r="BT5" s="230"/>
      <c r="BU5" s="230"/>
    </row>
    <row r="6" spans="1:73" x14ac:dyDescent="0.25">
      <c r="A6" t="s">
        <v>149</v>
      </c>
      <c r="G6" s="7"/>
      <c r="M6" s="29" t="s">
        <v>162</v>
      </c>
      <c r="N6" s="29"/>
      <c r="Z6" t="s">
        <v>112</v>
      </c>
      <c r="AC6" s="7" t="s">
        <v>113</v>
      </c>
      <c r="AT6" s="1"/>
      <c r="BF6" s="1"/>
      <c r="BR6" s="230"/>
      <c r="BS6" s="230"/>
      <c r="BT6" s="230"/>
      <c r="BU6" s="230"/>
    </row>
    <row r="7" spans="1:73" x14ac:dyDescent="0.25">
      <c r="A7" t="s">
        <v>175</v>
      </c>
      <c r="G7" s="7"/>
      <c r="M7" s="29"/>
      <c r="N7" s="29"/>
      <c r="AC7" s="7"/>
      <c r="AT7" s="1"/>
      <c r="BF7" s="1"/>
      <c r="BR7" s="230"/>
      <c r="BS7" s="230"/>
      <c r="BT7" s="230"/>
      <c r="BU7" s="230"/>
    </row>
    <row r="8" spans="1:73" x14ac:dyDescent="0.25">
      <c r="G8" s="7"/>
      <c r="M8" s="7"/>
      <c r="N8" s="7"/>
      <c r="Z8" s="105" t="s">
        <v>74</v>
      </c>
      <c r="AA8" s="17"/>
      <c r="AB8" s="17"/>
      <c r="AC8" s="105">
        <v>12300</v>
      </c>
      <c r="AD8" s="105" t="s">
        <v>227</v>
      </c>
      <c r="AE8" s="105">
        <v>40</v>
      </c>
      <c r="AF8" s="105">
        <f>AC8/AE8</f>
        <v>307.5</v>
      </c>
    </row>
    <row r="9" spans="1:73" ht="99" customHeight="1" x14ac:dyDescent="0.25">
      <c r="A9" t="s">
        <v>1</v>
      </c>
      <c r="B9" t="s">
        <v>118</v>
      </c>
      <c r="C9" t="s">
        <v>2</v>
      </c>
      <c r="D9" t="s">
        <v>119</v>
      </c>
      <c r="E9" s="1" t="s">
        <v>3</v>
      </c>
      <c r="G9" s="4" t="s">
        <v>11</v>
      </c>
      <c r="H9" s="5" t="s">
        <v>5</v>
      </c>
      <c r="I9" s="5" t="s">
        <v>6</v>
      </c>
      <c r="J9" s="6" t="s">
        <v>7</v>
      </c>
      <c r="K9" s="96" t="s">
        <v>254</v>
      </c>
      <c r="L9" s="141"/>
      <c r="M9" s="4" t="s">
        <v>178</v>
      </c>
      <c r="N9" s="5" t="s">
        <v>196</v>
      </c>
      <c r="O9" s="5" t="s">
        <v>5</v>
      </c>
      <c r="P9" s="5" t="s">
        <v>6</v>
      </c>
      <c r="Q9" s="6" t="s">
        <v>7</v>
      </c>
      <c r="R9" s="8" t="s">
        <v>204</v>
      </c>
      <c r="S9" s="8" t="s">
        <v>252</v>
      </c>
      <c r="T9" s="8" t="s">
        <v>253</v>
      </c>
      <c r="U9" s="8" t="s">
        <v>202</v>
      </c>
      <c r="V9" s="8" t="s">
        <v>72</v>
      </c>
      <c r="W9" s="8" t="s">
        <v>257</v>
      </c>
      <c r="X9" s="8" t="s">
        <v>258</v>
      </c>
      <c r="Z9" s="8" t="s">
        <v>239</v>
      </c>
      <c r="AA9" s="8" t="s">
        <v>225</v>
      </c>
      <c r="AB9" s="8" t="s">
        <v>226</v>
      </c>
      <c r="AC9" s="6" t="s">
        <v>77</v>
      </c>
      <c r="AD9" s="8" t="s">
        <v>78</v>
      </c>
      <c r="AE9" s="8" t="s">
        <v>79</v>
      </c>
      <c r="AF9" s="8" t="s">
        <v>72</v>
      </c>
      <c r="AG9" s="8" t="s">
        <v>80</v>
      </c>
      <c r="AH9" s="8" t="s">
        <v>81</v>
      </c>
      <c r="AI9" s="8" t="s">
        <v>86</v>
      </c>
      <c r="AJ9" s="8" t="s">
        <v>88</v>
      </c>
      <c r="AK9" s="8" t="s">
        <v>89</v>
      </c>
      <c r="AL9" s="8" t="s">
        <v>254</v>
      </c>
      <c r="AN9" s="8" t="s">
        <v>87</v>
      </c>
      <c r="AO9" s="8" t="s">
        <v>225</v>
      </c>
      <c r="AP9" s="8" t="s">
        <v>226</v>
      </c>
      <c r="AQ9" s="6" t="s">
        <v>77</v>
      </c>
      <c r="AR9" s="8" t="s">
        <v>78</v>
      </c>
      <c r="AS9" s="8" t="s">
        <v>137</v>
      </c>
      <c r="AT9" s="8" t="s">
        <v>72</v>
      </c>
      <c r="AU9" s="8" t="s">
        <v>80</v>
      </c>
      <c r="AV9" s="8" t="s">
        <v>81</v>
      </c>
      <c r="AW9" s="8" t="s">
        <v>86</v>
      </c>
      <c r="AX9" s="8" t="s">
        <v>88</v>
      </c>
      <c r="AY9" s="8" t="s">
        <v>89</v>
      </c>
      <c r="AZ9" s="8" t="s">
        <v>254</v>
      </c>
      <c r="BB9" s="8" t="s">
        <v>90</v>
      </c>
      <c r="BC9" s="8" t="s">
        <v>91</v>
      </c>
      <c r="BD9" s="8" t="s">
        <v>92</v>
      </c>
      <c r="BE9" s="8" t="s">
        <v>110</v>
      </c>
      <c r="BF9" s="8" t="s">
        <v>93</v>
      </c>
      <c r="BG9" s="8" t="s">
        <v>109</v>
      </c>
      <c r="BH9" s="8" t="s">
        <v>94</v>
      </c>
      <c r="BI9" s="8" t="s">
        <v>95</v>
      </c>
      <c r="BJ9" s="8" t="s">
        <v>96</v>
      </c>
      <c r="BK9" s="8" t="s">
        <v>97</v>
      </c>
      <c r="BL9" s="8" t="s">
        <v>98</v>
      </c>
      <c r="BM9" s="8" t="s">
        <v>99</v>
      </c>
      <c r="BN9" s="8" t="s">
        <v>100</v>
      </c>
      <c r="BO9" s="8" t="s">
        <v>101</v>
      </c>
      <c r="BP9" s="8" t="s">
        <v>144</v>
      </c>
      <c r="BR9" s="8" t="s">
        <v>180</v>
      </c>
      <c r="BS9" s="8" t="s">
        <v>218</v>
      </c>
      <c r="BT9" s="96" t="s">
        <v>215</v>
      </c>
      <c r="BU9" s="96" t="s">
        <v>217</v>
      </c>
    </row>
    <row r="10" spans="1:73" ht="14.4" x14ac:dyDescent="0.25">
      <c r="A10" t="s">
        <v>212</v>
      </c>
      <c r="B10">
        <v>53</v>
      </c>
      <c r="C10">
        <v>42</v>
      </c>
      <c r="D10">
        <f>Tabel2[[#This Row],[kostprijs/ton]]/Tabel2[[#This Row],[zbw/100kg]]</f>
        <v>0.79245283018867929</v>
      </c>
      <c r="E10" s="1" t="s">
        <v>234</v>
      </c>
      <c r="G10" s="2" t="s">
        <v>12</v>
      </c>
      <c r="H10" s="10">
        <v>1560</v>
      </c>
      <c r="I10" s="10" t="s">
        <v>13</v>
      </c>
      <c r="J10" s="10">
        <v>470</v>
      </c>
      <c r="K10" s="10"/>
      <c r="M10" s="26" t="s">
        <v>200</v>
      </c>
      <c r="N10" s="26" t="s">
        <v>198</v>
      </c>
      <c r="O10" s="76"/>
      <c r="P10" s="76"/>
      <c r="Q10" s="76"/>
      <c r="R10" s="70">
        <v>4.5</v>
      </c>
      <c r="S10" s="70">
        <v>25</v>
      </c>
      <c r="T10" s="70"/>
      <c r="U10" s="70">
        <v>150</v>
      </c>
      <c r="V10" s="181" t="s">
        <v>275</v>
      </c>
      <c r="W10" s="152" t="s">
        <v>261</v>
      </c>
      <c r="X10" s="152" t="s">
        <v>269</v>
      </c>
      <c r="Z10" t="s">
        <v>163</v>
      </c>
      <c r="AA10">
        <v>133</v>
      </c>
      <c r="AB10" s="63">
        <f t="shared" ref="AB10:AB19" si="0">AA10/AG10</f>
        <v>19.558823529411764</v>
      </c>
      <c r="AC10">
        <v>121</v>
      </c>
      <c r="AD10" s="9">
        <f>ROUND(MIN(AJ10:AK10),0)</f>
        <v>18</v>
      </c>
      <c r="AG10">
        <v>6.8</v>
      </c>
      <c r="AH10">
        <v>3.9</v>
      </c>
      <c r="AJ10">
        <f t="shared" ref="AJ10:AJ19" si="1">$AJ$1/AG10</f>
        <v>25</v>
      </c>
      <c r="AK10">
        <f t="shared" ref="AK10:AK19" si="2">$AK$1/AH10</f>
        <v>17.948717948717949</v>
      </c>
      <c r="AL10">
        <v>1</v>
      </c>
      <c r="AN10" t="s">
        <v>173</v>
      </c>
      <c r="AO10">
        <v>49</v>
      </c>
      <c r="AP10" s="63">
        <f t="shared" ref="AP10:AP15" si="3">AO10/AU10</f>
        <v>4.5370370370370363</v>
      </c>
      <c r="AQ10">
        <v>20</v>
      </c>
      <c r="AR10" s="9">
        <f t="shared" ref="AR10:AR15" si="4">ROUND(MIN(AX10:AY10),0)</f>
        <v>10</v>
      </c>
      <c r="AS10">
        <f>toolbox!$O$3</f>
        <v>-5</v>
      </c>
      <c r="AU10">
        <v>10.8</v>
      </c>
      <c r="AV10">
        <v>6.9</v>
      </c>
      <c r="AX10" s="102">
        <f t="shared" ref="AX10:AX15" si="5">$AX$1/AU10</f>
        <v>15.74074074074074</v>
      </c>
      <c r="AY10" s="102">
        <f t="shared" ref="AY10:AY15" si="6">$AY$1/AV10</f>
        <v>10.144927536231883</v>
      </c>
      <c r="AZ10" s="142">
        <v>1</v>
      </c>
      <c r="BB10" s="10" t="s">
        <v>104</v>
      </c>
      <c r="BC10" s="10"/>
      <c r="BD10" s="10"/>
      <c r="BE10" s="10"/>
      <c r="BF10" s="10"/>
      <c r="BG10" s="10"/>
      <c r="BH10" s="10"/>
      <c r="BI10" s="10"/>
      <c r="BJ10" s="10"/>
      <c r="BK10" s="10"/>
      <c r="BL10" s="10"/>
      <c r="BM10" s="10"/>
      <c r="BN10" s="10"/>
      <c r="BO10" s="10"/>
      <c r="BP10" s="10">
        <v>0</v>
      </c>
      <c r="BR10" t="s">
        <v>181</v>
      </c>
      <c r="BS10">
        <v>1050</v>
      </c>
      <c r="BT10" t="s">
        <v>219</v>
      </c>
      <c r="BU10">
        <v>900</v>
      </c>
    </row>
    <row r="11" spans="1:73" ht="14.4" x14ac:dyDescent="0.25">
      <c r="A11" t="s">
        <v>211</v>
      </c>
      <c r="B11">
        <v>47</v>
      </c>
      <c r="C11">
        <v>45</v>
      </c>
      <c r="D11">
        <f>Tabel2[[#This Row],[kostprijs/ton]]/Tabel2[[#This Row],[zbw/100kg]]</f>
        <v>0.95744680851063835</v>
      </c>
      <c r="G11" s="2" t="s">
        <v>14</v>
      </c>
      <c r="H11" s="10">
        <v>2780</v>
      </c>
      <c r="I11" s="10" t="s">
        <v>8</v>
      </c>
      <c r="J11" s="10">
        <v>570</v>
      </c>
      <c r="K11" s="10"/>
      <c r="M11" s="59" t="s">
        <v>107</v>
      </c>
      <c r="N11" s="59" t="s">
        <v>197</v>
      </c>
      <c r="O11" s="27">
        <v>1640</v>
      </c>
      <c r="P11" s="60" t="s">
        <v>8</v>
      </c>
      <c r="Q11" s="27">
        <v>620</v>
      </c>
      <c r="R11" s="77">
        <v>5</v>
      </c>
      <c r="S11" s="77">
        <v>12</v>
      </c>
      <c r="T11" s="77"/>
      <c r="U11" s="70">
        <f t="shared" ref="U11:U22" si="7">ROUND(R11*S11,0)</f>
        <v>60</v>
      </c>
      <c r="V11" s="181" t="s">
        <v>275</v>
      </c>
      <c r="W11" s="152" t="s">
        <v>260</v>
      </c>
      <c r="X11" s="152" t="s">
        <v>259</v>
      </c>
      <c r="Z11" t="s">
        <v>75</v>
      </c>
      <c r="AA11">
        <v>154</v>
      </c>
      <c r="AB11" s="63">
        <f t="shared" si="0"/>
        <v>12.833333333333334</v>
      </c>
      <c r="AC11" s="30">
        <v>132</v>
      </c>
      <c r="AD11" s="9">
        <f>ROUND(MIN(AJ11:AK11),0)</f>
        <v>11</v>
      </c>
      <c r="AE11" s="30">
        <v>5</v>
      </c>
      <c r="AF11" s="30"/>
      <c r="AG11" s="30">
        <v>12</v>
      </c>
      <c r="AH11" s="30">
        <v>6.6</v>
      </c>
      <c r="AI11">
        <v>9.9</v>
      </c>
      <c r="AJ11">
        <f t="shared" si="1"/>
        <v>14.166666666666666</v>
      </c>
      <c r="AK11">
        <f t="shared" si="2"/>
        <v>10.606060606060607</v>
      </c>
      <c r="AL11">
        <v>1</v>
      </c>
      <c r="AN11" s="30" t="s">
        <v>82</v>
      </c>
      <c r="AO11">
        <v>5</v>
      </c>
      <c r="AP11" s="63">
        <f t="shared" si="3"/>
        <v>1.8518518518518516</v>
      </c>
      <c r="AQ11">
        <v>2</v>
      </c>
      <c r="AR11" s="9">
        <f t="shared" si="4"/>
        <v>50</v>
      </c>
      <c r="AS11">
        <f>toolbox!$O$3</f>
        <v>-5</v>
      </c>
      <c r="AU11">
        <v>2.7</v>
      </c>
      <c r="AV11">
        <v>1.4</v>
      </c>
      <c r="AW11">
        <v>4</v>
      </c>
      <c r="AX11" s="102">
        <f t="shared" si="5"/>
        <v>62.962962962962962</v>
      </c>
      <c r="AY11" s="102">
        <f t="shared" si="6"/>
        <v>50</v>
      </c>
      <c r="AZ11" s="142">
        <v>1</v>
      </c>
      <c r="BB11" s="11" t="s">
        <v>102</v>
      </c>
      <c r="BC11" s="11">
        <v>7000</v>
      </c>
      <c r="BD11" s="11">
        <f>0.25*BC11</f>
        <v>1750</v>
      </c>
      <c r="BE11" s="11">
        <v>15</v>
      </c>
      <c r="BF11" s="11">
        <f>(BC11-BD11)/BE11</f>
        <v>350</v>
      </c>
      <c r="BG11" s="11">
        <v>30</v>
      </c>
      <c r="BH11" s="14">
        <f t="shared" ref="BH11:BH16" si="8">BF11/BG11</f>
        <v>11.666666666666666</v>
      </c>
      <c r="BI11" s="15">
        <v>8.5</v>
      </c>
      <c r="BJ11" s="16">
        <v>15</v>
      </c>
      <c r="BK11" s="11">
        <v>0.65</v>
      </c>
      <c r="BL11" s="15">
        <f t="shared" ref="BL11:BL16" si="9">BJ11*BK11</f>
        <v>9.75</v>
      </c>
      <c r="BM11" s="11">
        <v>35</v>
      </c>
      <c r="BN11" s="11">
        <v>1</v>
      </c>
      <c r="BO11" s="15">
        <f>BM11*BN11</f>
        <v>35</v>
      </c>
      <c r="BP11" s="13">
        <v>73</v>
      </c>
      <c r="BR11" t="s">
        <v>182</v>
      </c>
      <c r="BS11">
        <v>900</v>
      </c>
      <c r="BT11" t="s">
        <v>220</v>
      </c>
      <c r="BU11">
        <v>750</v>
      </c>
    </row>
    <row r="12" spans="1:73" ht="14.4" x14ac:dyDescent="0.25">
      <c r="A12" t="s">
        <v>213</v>
      </c>
      <c r="B12">
        <v>55</v>
      </c>
      <c r="C12">
        <v>130</v>
      </c>
      <c r="D12" s="25">
        <f>Tabel2[[#This Row],[kostprijs/ton]]/Tabel2[[#This Row],[zbw/100kg]]</f>
        <v>2.3636363636363638</v>
      </c>
      <c r="E12" s="1" t="s">
        <v>177</v>
      </c>
      <c r="G12" s="2" t="s">
        <v>153</v>
      </c>
      <c r="H12" s="10">
        <v>440</v>
      </c>
      <c r="I12" s="10" t="s">
        <v>15</v>
      </c>
      <c r="J12" s="10">
        <v>220</v>
      </c>
      <c r="K12" s="10"/>
      <c r="M12" s="73" t="s">
        <v>9</v>
      </c>
      <c r="N12" s="73" t="s">
        <v>198</v>
      </c>
      <c r="O12" s="72">
        <v>1990</v>
      </c>
      <c r="P12" s="72" t="s">
        <v>8</v>
      </c>
      <c r="Q12" s="72">
        <v>950</v>
      </c>
      <c r="R12" s="74">
        <v>4</v>
      </c>
      <c r="S12" s="74">
        <v>30</v>
      </c>
      <c r="T12" s="74"/>
      <c r="U12" s="70">
        <f t="shared" si="7"/>
        <v>120</v>
      </c>
      <c r="V12" s="81" t="s">
        <v>73</v>
      </c>
      <c r="W12" s="81" t="s">
        <v>261</v>
      </c>
      <c r="X12" s="81" t="s">
        <v>262</v>
      </c>
      <c r="Z12" t="s">
        <v>76</v>
      </c>
      <c r="AA12">
        <v>116</v>
      </c>
      <c r="AB12" s="63">
        <f t="shared" si="0"/>
        <v>16.571428571428573</v>
      </c>
      <c r="AC12" s="30">
        <v>110</v>
      </c>
      <c r="AD12" s="9">
        <f>ROUND(MIN(AJ12:AK12),0)</f>
        <v>24</v>
      </c>
      <c r="AE12" s="30">
        <v>50</v>
      </c>
      <c r="AF12" s="30"/>
      <c r="AG12" s="30">
        <v>7</v>
      </c>
      <c r="AH12" s="30">
        <v>2.8</v>
      </c>
      <c r="AI12">
        <v>5.7</v>
      </c>
      <c r="AJ12">
        <f t="shared" si="1"/>
        <v>24.285714285714285</v>
      </c>
      <c r="AK12">
        <f t="shared" si="2"/>
        <v>25</v>
      </c>
      <c r="AL12">
        <v>1</v>
      </c>
      <c r="AN12" t="s">
        <v>84</v>
      </c>
      <c r="AO12">
        <v>31</v>
      </c>
      <c r="AP12" s="63">
        <f t="shared" si="3"/>
        <v>3.8271604938271606</v>
      </c>
      <c r="AQ12">
        <v>12</v>
      </c>
      <c r="AR12" s="9">
        <f t="shared" si="4"/>
        <v>18</v>
      </c>
      <c r="AS12">
        <f>toolbox!$O$3</f>
        <v>-5</v>
      </c>
      <c r="AU12">
        <v>8.1</v>
      </c>
      <c r="AV12">
        <v>3.9</v>
      </c>
      <c r="AX12" s="102">
        <f t="shared" si="5"/>
        <v>20.987654320987655</v>
      </c>
      <c r="AY12" s="102">
        <f t="shared" si="6"/>
        <v>17.948717948717949</v>
      </c>
      <c r="AZ12" s="142"/>
      <c r="BB12" s="11" t="s">
        <v>105</v>
      </c>
      <c r="BC12" s="11">
        <v>18100</v>
      </c>
      <c r="BD12" s="11">
        <f>0.25*BC12</f>
        <v>4525</v>
      </c>
      <c r="BE12" s="11">
        <v>20</v>
      </c>
      <c r="BF12" s="11">
        <f>(BC12-BD12)/BE12</f>
        <v>678.75</v>
      </c>
      <c r="BG12" s="11">
        <v>30</v>
      </c>
      <c r="BH12" s="14">
        <f t="shared" si="8"/>
        <v>22.625</v>
      </c>
      <c r="BI12" s="15">
        <v>14</v>
      </c>
      <c r="BJ12" s="16">
        <v>15</v>
      </c>
      <c r="BK12" s="11">
        <v>0.65</v>
      </c>
      <c r="BL12" s="15">
        <f t="shared" si="9"/>
        <v>9.75</v>
      </c>
      <c r="BM12" s="11">
        <v>35</v>
      </c>
      <c r="BN12" s="11">
        <v>0.5</v>
      </c>
      <c r="BO12" s="15">
        <f>BM12*BN12</f>
        <v>17.5</v>
      </c>
      <c r="BP12" s="13">
        <v>75</v>
      </c>
      <c r="BR12" s="12" t="s">
        <v>183</v>
      </c>
      <c r="BS12">
        <v>1050</v>
      </c>
      <c r="BT12" t="s">
        <v>216</v>
      </c>
      <c r="BU12">
        <v>900</v>
      </c>
    </row>
    <row r="13" spans="1:73" ht="14.4" x14ac:dyDescent="0.25">
      <c r="A13" t="s">
        <v>214</v>
      </c>
      <c r="B13">
        <v>35</v>
      </c>
      <c r="C13">
        <v>5.0999999999999996</v>
      </c>
      <c r="D13" s="25">
        <f>Tabel2[[#This Row],[kostprijs/ton]]/Tabel2[[#This Row],[zbw/100kg]]</f>
        <v>0.14571428571428571</v>
      </c>
      <c r="E13" s="1" t="s">
        <v>176</v>
      </c>
      <c r="G13" s="2" t="s">
        <v>16</v>
      </c>
      <c r="H13" s="10">
        <v>1520</v>
      </c>
      <c r="I13" s="10" t="s">
        <v>17</v>
      </c>
      <c r="J13" s="10">
        <v>470</v>
      </c>
      <c r="K13" s="10">
        <v>1</v>
      </c>
      <c r="M13" s="59" t="s">
        <v>201</v>
      </c>
      <c r="N13" s="59" t="s">
        <v>197</v>
      </c>
      <c r="O13" s="27">
        <v>1470</v>
      </c>
      <c r="P13" s="60" t="s">
        <v>8</v>
      </c>
      <c r="Q13" s="27">
        <v>560</v>
      </c>
      <c r="R13" s="70">
        <v>8.5</v>
      </c>
      <c r="S13" s="70">
        <v>8</v>
      </c>
      <c r="T13" s="70"/>
      <c r="U13" s="70">
        <v>100</v>
      </c>
      <c r="V13" s="79" t="s">
        <v>203</v>
      </c>
      <c r="W13" s="79" t="s">
        <v>261</v>
      </c>
      <c r="X13" s="79" t="s">
        <v>263</v>
      </c>
      <c r="Z13" s="32" t="s">
        <v>74</v>
      </c>
      <c r="AA13" s="75">
        <v>1000</v>
      </c>
      <c r="AB13" s="104">
        <f t="shared" si="0"/>
        <v>1369.8630136986301</v>
      </c>
      <c r="AC13" s="32">
        <f>AF11</f>
        <v>0</v>
      </c>
      <c r="AD13" s="32">
        <v>40</v>
      </c>
      <c r="AE13" s="32">
        <v>0</v>
      </c>
      <c r="AF13" s="32"/>
      <c r="AG13" s="33">
        <v>0.73</v>
      </c>
      <c r="AH13" s="33">
        <v>0.23</v>
      </c>
      <c r="AI13" s="32"/>
      <c r="AJ13" s="32">
        <f t="shared" si="1"/>
        <v>232.87671232876713</v>
      </c>
      <c r="AK13" s="32">
        <f t="shared" si="2"/>
        <v>304.3478260869565</v>
      </c>
      <c r="AL13" s="32"/>
      <c r="AN13" s="103" t="s">
        <v>85</v>
      </c>
      <c r="AO13">
        <v>31</v>
      </c>
      <c r="AP13" s="63">
        <f t="shared" si="3"/>
        <v>3.3695652173913047</v>
      </c>
      <c r="AQ13">
        <v>12</v>
      </c>
      <c r="AR13" s="9">
        <f t="shared" si="4"/>
        <v>14</v>
      </c>
      <c r="AS13">
        <f>toolbox!$O$3</f>
        <v>-5</v>
      </c>
      <c r="AU13">
        <v>9.1999999999999993</v>
      </c>
      <c r="AV13">
        <v>4.9000000000000004</v>
      </c>
      <c r="AX13" s="102">
        <f t="shared" si="5"/>
        <v>18.478260869565219</v>
      </c>
      <c r="AY13" s="102">
        <f t="shared" si="6"/>
        <v>14.285714285714285</v>
      </c>
      <c r="AZ13" s="142"/>
      <c r="BB13" s="11" t="s">
        <v>106</v>
      </c>
      <c r="BC13" s="11">
        <v>16000</v>
      </c>
      <c r="BD13" s="11">
        <f>0.25*BC13</f>
        <v>4000</v>
      </c>
      <c r="BE13" s="11">
        <v>20</v>
      </c>
      <c r="BF13" s="11">
        <f>(BC13-BD13)/BE13</f>
        <v>600</v>
      </c>
      <c r="BG13" s="11">
        <v>30</v>
      </c>
      <c r="BH13" s="14">
        <f t="shared" si="8"/>
        <v>20</v>
      </c>
      <c r="BI13" s="15">
        <v>8</v>
      </c>
      <c r="BJ13" s="16">
        <v>35</v>
      </c>
      <c r="BK13" s="11">
        <v>0.65</v>
      </c>
      <c r="BL13" s="15">
        <f t="shared" si="9"/>
        <v>22.75</v>
      </c>
      <c r="BM13" s="11">
        <v>35</v>
      </c>
      <c r="BN13" s="11">
        <v>2</v>
      </c>
      <c r="BO13" s="15">
        <f>BM13*BN13</f>
        <v>70</v>
      </c>
      <c r="BP13" s="13">
        <v>136</v>
      </c>
      <c r="BQ13" s="12"/>
      <c r="BR13" t="s">
        <v>184</v>
      </c>
      <c r="BS13">
        <v>850</v>
      </c>
      <c r="BT13" t="s">
        <v>220</v>
      </c>
      <c r="BU13">
        <v>700</v>
      </c>
    </row>
    <row r="14" spans="1:73" ht="14.4" x14ac:dyDescent="0.25">
      <c r="G14" s="2" t="s">
        <v>18</v>
      </c>
      <c r="H14" s="10">
        <v>1760</v>
      </c>
      <c r="I14" s="10" t="s">
        <v>17</v>
      </c>
      <c r="J14" s="10">
        <v>540</v>
      </c>
      <c r="K14" s="10">
        <v>1</v>
      </c>
      <c r="M14" s="59" t="s">
        <v>71</v>
      </c>
      <c r="N14" s="59" t="s">
        <v>198</v>
      </c>
      <c r="O14" s="27">
        <v>1660</v>
      </c>
      <c r="P14" s="60" t="s">
        <v>8</v>
      </c>
      <c r="Q14" s="28">
        <v>630</v>
      </c>
      <c r="R14" s="70">
        <v>2.4</v>
      </c>
      <c r="S14" s="70">
        <v>10</v>
      </c>
      <c r="T14" s="70"/>
      <c r="U14" s="70">
        <v>25</v>
      </c>
      <c r="V14" s="79" t="s">
        <v>203</v>
      </c>
      <c r="W14" s="79" t="s">
        <v>264</v>
      </c>
      <c r="X14" s="79" t="s">
        <v>262</v>
      </c>
      <c r="Z14" t="s">
        <v>169</v>
      </c>
      <c r="AA14">
        <v>122</v>
      </c>
      <c r="AB14" s="63">
        <f t="shared" si="0"/>
        <v>10.517241379310345</v>
      </c>
      <c r="AC14">
        <v>61</v>
      </c>
      <c r="AD14" s="9">
        <f t="shared" ref="AD14:AD19" si="10">ROUND(MIN(AJ14:AK14),0)</f>
        <v>8</v>
      </c>
      <c r="AG14">
        <v>11.6</v>
      </c>
      <c r="AH14">
        <v>8.3000000000000007</v>
      </c>
      <c r="AJ14">
        <f t="shared" si="1"/>
        <v>14.655172413793103</v>
      </c>
      <c r="AK14">
        <f t="shared" si="2"/>
        <v>8.4337349397590362</v>
      </c>
      <c r="AN14" t="s">
        <v>172</v>
      </c>
      <c r="AO14">
        <v>37</v>
      </c>
      <c r="AP14" s="63">
        <f t="shared" si="3"/>
        <v>7.2549019607843146</v>
      </c>
      <c r="AQ14">
        <v>15</v>
      </c>
      <c r="AR14" s="9">
        <f t="shared" si="4"/>
        <v>33</v>
      </c>
      <c r="AS14">
        <f>toolbox!$O$3</f>
        <v>-5</v>
      </c>
      <c r="AU14">
        <v>5.0999999999999996</v>
      </c>
      <c r="AV14">
        <v>1.4</v>
      </c>
      <c r="AW14">
        <v>4.7</v>
      </c>
      <c r="AX14" s="102">
        <f t="shared" si="5"/>
        <v>33.333333333333336</v>
      </c>
      <c r="AY14" s="102">
        <f t="shared" si="6"/>
        <v>50</v>
      </c>
      <c r="AZ14" s="142"/>
      <c r="BB14" s="11" t="s">
        <v>143</v>
      </c>
      <c r="BC14" s="11">
        <v>4000</v>
      </c>
      <c r="BD14" s="10">
        <v>0</v>
      </c>
      <c r="BE14" s="58">
        <v>20</v>
      </c>
      <c r="BF14" s="10">
        <f>BC14/BE14</f>
        <v>200</v>
      </c>
      <c r="BG14" s="11">
        <v>1</v>
      </c>
      <c r="BH14" s="14">
        <f t="shared" si="8"/>
        <v>200</v>
      </c>
      <c r="BI14" s="15">
        <v>0</v>
      </c>
      <c r="BJ14" s="16">
        <v>0</v>
      </c>
      <c r="BK14" s="10"/>
      <c r="BL14" s="15">
        <f t="shared" si="9"/>
        <v>0</v>
      </c>
      <c r="BM14" s="11">
        <v>35</v>
      </c>
      <c r="BN14" s="11">
        <v>1</v>
      </c>
      <c r="BO14" s="15">
        <f>BM14*BN14</f>
        <v>35</v>
      </c>
      <c r="BP14" s="13">
        <v>743</v>
      </c>
    </row>
    <row r="15" spans="1:73" ht="14.4" x14ac:dyDescent="0.25">
      <c r="G15" s="2" t="s">
        <v>19</v>
      </c>
      <c r="H15" s="10">
        <v>1550</v>
      </c>
      <c r="I15" s="10" t="s">
        <v>13</v>
      </c>
      <c r="J15" s="10">
        <v>470</v>
      </c>
      <c r="K15" s="10"/>
      <c r="M15" s="73" t="s">
        <v>108</v>
      </c>
      <c r="N15" s="73"/>
      <c r="O15" s="72">
        <v>1120</v>
      </c>
      <c r="P15" s="72" t="s">
        <v>8</v>
      </c>
      <c r="Q15" s="82">
        <v>340</v>
      </c>
      <c r="R15" s="72">
        <v>2.2000000000000002</v>
      </c>
      <c r="S15" s="72">
        <v>30</v>
      </c>
      <c r="T15" s="72"/>
      <c r="U15" s="70">
        <v>48</v>
      </c>
      <c r="V15" s="81" t="s">
        <v>73</v>
      </c>
      <c r="W15" s="81" t="s">
        <v>261</v>
      </c>
      <c r="X15" s="81" t="s">
        <v>262</v>
      </c>
      <c r="Z15" t="s">
        <v>166</v>
      </c>
      <c r="AA15">
        <v>296</v>
      </c>
      <c r="AB15" s="63">
        <f t="shared" si="0"/>
        <v>10.033898305084746</v>
      </c>
      <c r="AC15">
        <f>296*0.5</f>
        <v>148</v>
      </c>
      <c r="AD15" s="9">
        <f t="shared" si="10"/>
        <v>3</v>
      </c>
      <c r="AG15">
        <v>29.5</v>
      </c>
      <c r="AH15">
        <v>25.5</v>
      </c>
      <c r="AJ15">
        <f t="shared" si="1"/>
        <v>5.7627118644067794</v>
      </c>
      <c r="AK15">
        <f t="shared" si="2"/>
        <v>2.7450980392156863</v>
      </c>
      <c r="AL15">
        <v>1</v>
      </c>
      <c r="AN15" t="s">
        <v>83</v>
      </c>
      <c r="AO15">
        <v>25</v>
      </c>
      <c r="AP15" s="63">
        <f t="shared" si="3"/>
        <v>5.4347826086956523</v>
      </c>
      <c r="AQ15">
        <v>10</v>
      </c>
      <c r="AR15" s="9">
        <f t="shared" si="4"/>
        <v>18</v>
      </c>
      <c r="AS15">
        <f>toolbox!$O$3</f>
        <v>-5</v>
      </c>
      <c r="AU15">
        <v>4.5999999999999996</v>
      </c>
      <c r="AV15">
        <v>3.8</v>
      </c>
      <c r="AX15" s="102">
        <f t="shared" si="5"/>
        <v>36.956521739130437</v>
      </c>
      <c r="AY15" s="102">
        <f t="shared" si="6"/>
        <v>18.421052631578949</v>
      </c>
      <c r="AZ15" s="142"/>
      <c r="BB15" s="11" t="s">
        <v>208</v>
      </c>
      <c r="BC15">
        <f>15000+10000</f>
        <v>25000</v>
      </c>
      <c r="BD15">
        <v>0</v>
      </c>
      <c r="BE15" s="11">
        <v>10</v>
      </c>
      <c r="BF15">
        <f>BC15/BE15</f>
        <v>2500</v>
      </c>
      <c r="BG15" s="11">
        <v>30</v>
      </c>
      <c r="BH15" s="14">
        <f t="shared" si="8"/>
        <v>83.333333333333329</v>
      </c>
      <c r="BI15" s="15">
        <v>10</v>
      </c>
      <c r="BJ15" s="58">
        <v>0</v>
      </c>
      <c r="BK15" s="11">
        <v>0.65</v>
      </c>
      <c r="BL15" s="83">
        <f t="shared" si="9"/>
        <v>0</v>
      </c>
      <c r="BM15" s="11">
        <v>35</v>
      </c>
      <c r="BN15" s="11">
        <v>0</v>
      </c>
      <c r="BO15" s="83">
        <f>BM15*BN15</f>
        <v>0</v>
      </c>
      <c r="BP15" s="13">
        <v>72</v>
      </c>
      <c r="BQ15" s="17"/>
    </row>
    <row r="16" spans="1:73" ht="14.4" x14ac:dyDescent="0.25">
      <c r="G16" s="2" t="s">
        <v>20</v>
      </c>
      <c r="H16" s="10">
        <v>1400</v>
      </c>
      <c r="I16" s="10" t="s">
        <v>8</v>
      </c>
      <c r="J16" s="10">
        <v>420</v>
      </c>
      <c r="K16" s="10"/>
      <c r="M16" s="73" t="s">
        <v>157</v>
      </c>
      <c r="N16" s="73"/>
      <c r="O16" s="72">
        <v>900</v>
      </c>
      <c r="P16" s="74"/>
      <c r="Q16" s="82">
        <v>430</v>
      </c>
      <c r="R16" s="74">
        <v>4</v>
      </c>
      <c r="S16" s="74">
        <v>45</v>
      </c>
      <c r="T16" s="74"/>
      <c r="U16" s="70">
        <v>130</v>
      </c>
      <c r="V16" s="81" t="s">
        <v>73</v>
      </c>
      <c r="W16" s="81" t="s">
        <v>261</v>
      </c>
      <c r="X16" s="81" t="s">
        <v>262</v>
      </c>
      <c r="Z16" t="s">
        <v>168</v>
      </c>
      <c r="AA16">
        <v>93</v>
      </c>
      <c r="AB16" s="63">
        <f t="shared" si="0"/>
        <v>18.600000000000001</v>
      </c>
      <c r="AC16">
        <v>52</v>
      </c>
      <c r="AD16" s="9">
        <f t="shared" si="10"/>
        <v>23</v>
      </c>
      <c r="AE16">
        <v>20</v>
      </c>
      <c r="AG16">
        <v>5</v>
      </c>
      <c r="AH16">
        <v>3</v>
      </c>
      <c r="AJ16">
        <f t="shared" si="1"/>
        <v>34</v>
      </c>
      <c r="AK16">
        <f t="shared" si="2"/>
        <v>23.333333333333332</v>
      </c>
      <c r="AL16">
        <v>1</v>
      </c>
      <c r="AP16" s="63"/>
      <c r="AR16" s="9"/>
      <c r="AX16" s="102"/>
      <c r="AY16" s="102"/>
      <c r="AZ16" s="143"/>
      <c r="BB16" s="11" t="s">
        <v>224</v>
      </c>
      <c r="BC16" s="10">
        <v>6000</v>
      </c>
      <c r="BD16" s="78">
        <v>100</v>
      </c>
      <c r="BE16" s="110">
        <v>10</v>
      </c>
      <c r="BF16">
        <f>BC16/BE16</f>
        <v>600</v>
      </c>
      <c r="BG16" s="11">
        <v>30</v>
      </c>
      <c r="BH16" s="14">
        <f t="shared" si="8"/>
        <v>20</v>
      </c>
      <c r="BI16" s="111">
        <v>0</v>
      </c>
      <c r="BJ16" s="112">
        <f>-0.1*15</f>
        <v>-1.5</v>
      </c>
      <c r="BK16" s="11">
        <v>0.65</v>
      </c>
      <c r="BL16" s="15">
        <f t="shared" si="9"/>
        <v>-0.97500000000000009</v>
      </c>
      <c r="BM16" s="110">
        <v>0</v>
      </c>
      <c r="BN16" s="110">
        <v>0</v>
      </c>
      <c r="BO16" s="111">
        <v>0</v>
      </c>
      <c r="BP16" s="13">
        <f>ROUND(BH16+BI16+BL16+BO16,0)</f>
        <v>19</v>
      </c>
    </row>
    <row r="17" spans="7:72" ht="14.4" x14ac:dyDescent="0.25">
      <c r="G17" s="2" t="s">
        <v>21</v>
      </c>
      <c r="H17" s="10">
        <v>2530</v>
      </c>
      <c r="I17" s="10" t="s">
        <v>22</v>
      </c>
      <c r="J17" s="10">
        <v>770</v>
      </c>
      <c r="K17" s="10"/>
      <c r="M17" s="59" t="s">
        <v>10</v>
      </c>
      <c r="N17" s="59" t="s">
        <v>198</v>
      </c>
      <c r="O17" s="27">
        <v>1950</v>
      </c>
      <c r="P17" s="60" t="s">
        <v>8</v>
      </c>
      <c r="Q17" s="27">
        <v>930</v>
      </c>
      <c r="R17">
        <v>1.6</v>
      </c>
      <c r="S17">
        <v>30</v>
      </c>
      <c r="U17" s="70">
        <v>48</v>
      </c>
      <c r="V17" s="80" t="s">
        <v>203</v>
      </c>
      <c r="W17" s="80" t="s">
        <v>261</v>
      </c>
      <c r="X17" s="80" t="s">
        <v>265</v>
      </c>
      <c r="Z17" t="s">
        <v>164</v>
      </c>
      <c r="AA17">
        <v>93</v>
      </c>
      <c r="AB17" s="63">
        <f t="shared" si="0"/>
        <v>11.204819277108433</v>
      </c>
      <c r="AC17">
        <v>46</v>
      </c>
      <c r="AD17" s="9">
        <f t="shared" si="10"/>
        <v>20</v>
      </c>
      <c r="AE17">
        <v>-10</v>
      </c>
      <c r="AG17">
        <v>8.3000000000000007</v>
      </c>
      <c r="AH17">
        <v>2.9</v>
      </c>
      <c r="AI17">
        <v>4.7</v>
      </c>
      <c r="AJ17">
        <f t="shared" si="1"/>
        <v>20.481927710843372</v>
      </c>
      <c r="AK17">
        <f t="shared" si="2"/>
        <v>24.137931034482758</v>
      </c>
      <c r="AX17" s="102"/>
      <c r="AY17" s="102"/>
      <c r="AZ17" s="102"/>
      <c r="BB17" s="11"/>
      <c r="BC17" s="10"/>
      <c r="BD17" s="10"/>
      <c r="BE17" s="11"/>
      <c r="BF17" s="10"/>
      <c r="BG17" s="11"/>
      <c r="BH17" s="14"/>
      <c r="BI17" s="15"/>
      <c r="BJ17" s="58"/>
      <c r="BK17" s="11"/>
      <c r="BL17" s="15"/>
      <c r="BM17" s="11"/>
      <c r="BN17" s="11"/>
      <c r="BO17" s="15"/>
      <c r="BP17" s="13"/>
      <c r="BR17" s="10"/>
      <c r="BS17" s="10"/>
      <c r="BT17" s="10"/>
    </row>
    <row r="18" spans="7:72" ht="14.4" x14ac:dyDescent="0.25">
      <c r="G18" s="2" t="s">
        <v>151</v>
      </c>
      <c r="H18" s="10">
        <v>2220</v>
      </c>
      <c r="I18" s="10" t="s">
        <v>50</v>
      </c>
      <c r="J18" s="10">
        <v>890</v>
      </c>
      <c r="K18" s="10"/>
      <c r="M18" s="26" t="s">
        <v>154</v>
      </c>
      <c r="N18" s="26" t="s">
        <v>197</v>
      </c>
      <c r="O18" s="27">
        <v>2700</v>
      </c>
      <c r="P18" s="70"/>
      <c r="Q18" s="27">
        <v>1200</v>
      </c>
      <c r="R18">
        <v>1.95</v>
      </c>
      <c r="S18">
        <v>80</v>
      </c>
      <c r="U18" s="70">
        <v>170</v>
      </c>
      <c r="V18" s="80" t="s">
        <v>203</v>
      </c>
      <c r="W18" s="80" t="s">
        <v>266</v>
      </c>
      <c r="X18" s="80" t="s">
        <v>262</v>
      </c>
      <c r="Z18" t="s">
        <v>167</v>
      </c>
      <c r="AA18">
        <v>290</v>
      </c>
      <c r="AB18" s="63">
        <f t="shared" si="0"/>
        <v>8.1920903954802267</v>
      </c>
      <c r="AC18">
        <v>145</v>
      </c>
      <c r="AD18" s="9">
        <f t="shared" si="10"/>
        <v>4</v>
      </c>
      <c r="AG18">
        <v>35.4</v>
      </c>
      <c r="AH18">
        <v>17.5</v>
      </c>
      <c r="AJ18">
        <f t="shared" si="1"/>
        <v>4.8022598870056497</v>
      </c>
      <c r="AK18">
        <f t="shared" si="2"/>
        <v>4</v>
      </c>
      <c r="BB18" s="11"/>
      <c r="BC18" s="10"/>
      <c r="BD18" s="10"/>
      <c r="BE18" s="11"/>
      <c r="BF18" s="10"/>
      <c r="BG18" s="11"/>
      <c r="BH18" s="14"/>
      <c r="BI18" s="15"/>
      <c r="BJ18" s="58"/>
      <c r="BK18" s="11"/>
      <c r="BL18" s="15"/>
      <c r="BM18" s="11"/>
      <c r="BN18" s="11"/>
      <c r="BO18" s="15"/>
      <c r="BP18" s="13"/>
      <c r="BR18" s="138"/>
      <c r="BS18" s="138"/>
      <c r="BT18" s="138"/>
    </row>
    <row r="19" spans="7:72" ht="14.4" x14ac:dyDescent="0.25">
      <c r="G19" s="2" t="s">
        <v>23</v>
      </c>
      <c r="H19" s="10">
        <v>1830</v>
      </c>
      <c r="I19" s="10" t="s">
        <v>17</v>
      </c>
      <c r="J19" s="10">
        <v>460</v>
      </c>
      <c r="K19" s="10"/>
      <c r="M19" s="26" t="s">
        <v>155</v>
      </c>
      <c r="N19" s="26" t="s">
        <v>197</v>
      </c>
      <c r="O19" s="27">
        <v>1470</v>
      </c>
      <c r="Q19" s="27">
        <v>510</v>
      </c>
      <c r="R19">
        <v>0.7</v>
      </c>
      <c r="S19">
        <v>100</v>
      </c>
      <c r="U19" s="70">
        <f t="shared" si="7"/>
        <v>70</v>
      </c>
      <c r="V19" s="80" t="s">
        <v>203</v>
      </c>
      <c r="W19" s="80" t="s">
        <v>263</v>
      </c>
      <c r="X19" s="80" t="s">
        <v>267</v>
      </c>
      <c r="Z19" t="s">
        <v>165</v>
      </c>
      <c r="AA19">
        <v>113</v>
      </c>
      <c r="AB19" s="63">
        <f t="shared" si="0"/>
        <v>10.18018018018018</v>
      </c>
      <c r="AC19">
        <v>57</v>
      </c>
      <c r="AD19" s="9">
        <f t="shared" si="10"/>
        <v>9</v>
      </c>
      <c r="AG19">
        <v>11.1</v>
      </c>
      <c r="AH19">
        <v>7.5</v>
      </c>
      <c r="AJ19">
        <f t="shared" si="1"/>
        <v>15.315315315315315</v>
      </c>
      <c r="AK19">
        <f t="shared" si="2"/>
        <v>9.3333333333333339</v>
      </c>
      <c r="BR19" s="136"/>
      <c r="BS19" s="137"/>
      <c r="BT19" s="139"/>
    </row>
    <row r="20" spans="7:72" ht="14.4" x14ac:dyDescent="0.25">
      <c r="G20" s="3" t="s">
        <v>24</v>
      </c>
      <c r="H20" s="10">
        <v>2720</v>
      </c>
      <c r="I20" s="10" t="s">
        <v>25</v>
      </c>
      <c r="J20" s="10">
        <v>1090</v>
      </c>
      <c r="K20" s="10"/>
      <c r="M20" s="26" t="s">
        <v>156</v>
      </c>
      <c r="N20" s="26"/>
      <c r="O20" s="27">
        <v>260</v>
      </c>
      <c r="P20" s="78"/>
      <c r="Q20" s="27">
        <v>120</v>
      </c>
      <c r="R20">
        <v>0.7</v>
      </c>
      <c r="S20">
        <v>100</v>
      </c>
      <c r="U20" s="70">
        <f t="shared" si="7"/>
        <v>70</v>
      </c>
      <c r="V20" s="80" t="s">
        <v>203</v>
      </c>
      <c r="W20" s="80" t="s">
        <v>263</v>
      </c>
      <c r="X20" s="80" t="s">
        <v>267</v>
      </c>
      <c r="AD20" s="9"/>
      <c r="BB20" t="s">
        <v>191</v>
      </c>
      <c r="BC20" t="s">
        <v>192</v>
      </c>
      <c r="BR20" s="137"/>
      <c r="BS20" s="140"/>
      <c r="BT20" s="139"/>
    </row>
    <row r="21" spans="7:72" ht="14.4" x14ac:dyDescent="0.25">
      <c r="G21" s="3" t="s">
        <v>26</v>
      </c>
      <c r="H21" s="10">
        <v>4400</v>
      </c>
      <c r="I21" s="10" t="s">
        <v>25</v>
      </c>
      <c r="J21" s="10">
        <v>1580</v>
      </c>
      <c r="K21" s="10"/>
      <c r="M21" s="59" t="s">
        <v>276</v>
      </c>
      <c r="N21" s="59" t="s">
        <v>197</v>
      </c>
      <c r="O21" s="27">
        <v>1300</v>
      </c>
      <c r="P21" s="60" t="s">
        <v>8</v>
      </c>
      <c r="Q21" s="27">
        <v>490</v>
      </c>
      <c r="R21">
        <v>1.6</v>
      </c>
      <c r="S21">
        <v>90</v>
      </c>
      <c r="U21" s="70">
        <v>145</v>
      </c>
      <c r="V21" s="80" t="s">
        <v>203</v>
      </c>
      <c r="W21" s="80" t="s">
        <v>268</v>
      </c>
      <c r="X21" s="80" t="s">
        <v>263</v>
      </c>
      <c r="AR21" t="s">
        <v>138</v>
      </c>
      <c r="BR21" s="137"/>
      <c r="BS21" s="140"/>
      <c r="BT21" s="139"/>
    </row>
    <row r="22" spans="7:72" ht="14.4" x14ac:dyDescent="0.25">
      <c r="G22" s="2" t="s">
        <v>150</v>
      </c>
      <c r="H22" s="10">
        <v>2330</v>
      </c>
      <c r="I22" s="10" t="s">
        <v>8</v>
      </c>
      <c r="J22" s="10">
        <v>930</v>
      </c>
      <c r="K22" s="10"/>
      <c r="M22" s="26" t="s">
        <v>199</v>
      </c>
      <c r="N22" s="26" t="s">
        <v>197</v>
      </c>
      <c r="O22" s="75"/>
      <c r="P22" s="75"/>
      <c r="Q22" s="75"/>
      <c r="R22">
        <v>0.8</v>
      </c>
      <c r="S22">
        <v>100</v>
      </c>
      <c r="U22" s="70">
        <f t="shared" si="7"/>
        <v>80</v>
      </c>
      <c r="V22" s="80" t="s">
        <v>203</v>
      </c>
      <c r="W22" s="80" t="s">
        <v>263</v>
      </c>
      <c r="X22" s="80" t="s">
        <v>262</v>
      </c>
      <c r="AR22">
        <v>100</v>
      </c>
      <c r="AS22" t="s">
        <v>4</v>
      </c>
      <c r="BR22" s="137"/>
      <c r="BS22" s="140"/>
      <c r="BT22" s="139"/>
    </row>
    <row r="23" spans="7:72" ht="14.4" x14ac:dyDescent="0.25">
      <c r="G23" s="2" t="s">
        <v>152</v>
      </c>
      <c r="H23" s="10">
        <v>1700</v>
      </c>
      <c r="I23" s="10" t="s">
        <v>8</v>
      </c>
      <c r="J23" s="10">
        <v>680</v>
      </c>
      <c r="K23" s="10"/>
      <c r="M23" s="59"/>
      <c r="N23" s="59"/>
      <c r="O23" s="27"/>
      <c r="P23" s="60"/>
      <c r="Q23" s="27"/>
      <c r="AS23" t="s">
        <v>139</v>
      </c>
      <c r="BR23" s="137"/>
      <c r="BS23" s="140"/>
      <c r="BT23" s="139"/>
    </row>
    <row r="24" spans="7:72" ht="14.4" x14ac:dyDescent="0.25">
      <c r="G24" s="2" t="s">
        <v>27</v>
      </c>
      <c r="H24" s="10">
        <v>1720</v>
      </c>
      <c r="I24" s="10" t="s">
        <v>28</v>
      </c>
      <c r="J24" s="10">
        <v>550</v>
      </c>
      <c r="K24" s="10"/>
      <c r="M24" s="71"/>
      <c r="N24" s="59"/>
      <c r="O24" s="27"/>
      <c r="P24" s="60"/>
      <c r="Q24" s="27"/>
      <c r="AR24">
        <v>170</v>
      </c>
      <c r="AS24" t="s">
        <v>140</v>
      </c>
      <c r="BR24" s="137"/>
      <c r="BS24" s="140"/>
      <c r="BT24" s="139"/>
    </row>
    <row r="25" spans="7:72" ht="14.4" x14ac:dyDescent="0.25">
      <c r="G25" s="2" t="s">
        <v>29</v>
      </c>
      <c r="H25" s="10">
        <v>1960</v>
      </c>
      <c r="I25" s="10" t="s">
        <v>30</v>
      </c>
      <c r="J25" s="10">
        <v>700</v>
      </c>
      <c r="K25" s="10"/>
      <c r="M25" s="231"/>
      <c r="N25" s="232"/>
      <c r="O25" s="232"/>
      <c r="P25" s="232"/>
      <c r="Q25" s="229"/>
      <c r="R25" s="229"/>
      <c r="S25" s="67"/>
      <c r="T25" s="67"/>
      <c r="U25" s="229"/>
      <c r="AR25" t="e">
        <f>#REF!</f>
        <v>#REF!</v>
      </c>
      <c r="AS25" t="s">
        <v>141</v>
      </c>
      <c r="BC25" t="s">
        <v>193</v>
      </c>
      <c r="BN25">
        <v>1785</v>
      </c>
      <c r="BR25" s="137"/>
      <c r="BS25" s="140"/>
      <c r="BT25" s="139"/>
    </row>
    <row r="26" spans="7:72" ht="14.4" x14ac:dyDescent="0.25">
      <c r="G26" s="2" t="s">
        <v>31</v>
      </c>
      <c r="H26" s="10">
        <v>1890</v>
      </c>
      <c r="I26" s="10" t="s">
        <v>17</v>
      </c>
      <c r="J26" s="10">
        <v>640</v>
      </c>
      <c r="K26" s="10"/>
      <c r="M26" s="231"/>
      <c r="N26" s="232"/>
      <c r="O26" s="232"/>
      <c r="P26" s="232"/>
      <c r="Q26" s="229"/>
      <c r="R26" s="229"/>
      <c r="S26" s="67"/>
      <c r="T26" s="67"/>
      <c r="U26" s="229"/>
      <c r="AR26" t="e">
        <f>AR24/AR25</f>
        <v>#REF!</v>
      </c>
      <c r="AS26" t="s">
        <v>146</v>
      </c>
      <c r="BB26">
        <v>1</v>
      </c>
      <c r="BC26">
        <v>2.42</v>
      </c>
      <c r="BN26" s="63">
        <f>BN25/BC30</f>
        <v>183.26488706365498</v>
      </c>
    </row>
    <row r="27" spans="7:72" ht="14.4" x14ac:dyDescent="0.25">
      <c r="G27" s="3" t="s">
        <v>32</v>
      </c>
      <c r="H27" s="10">
        <v>3890</v>
      </c>
      <c r="I27" s="10" t="s">
        <v>25</v>
      </c>
      <c r="J27" s="10">
        <v>1330</v>
      </c>
      <c r="K27" s="10"/>
      <c r="M27" s="134" t="s">
        <v>242</v>
      </c>
      <c r="N27" s="64"/>
      <c r="O27" s="65"/>
      <c r="P27" s="65"/>
      <c r="Q27" s="68"/>
      <c r="R27" s="66"/>
      <c r="S27" s="69"/>
      <c r="T27" s="69"/>
      <c r="U27" s="69"/>
      <c r="AR27" t="e">
        <f>AR22/AR26</f>
        <v>#REF!</v>
      </c>
      <c r="AS27" t="s">
        <v>142</v>
      </c>
      <c r="BB27">
        <v>2</v>
      </c>
      <c r="BC27">
        <v>2.89</v>
      </c>
    </row>
    <row r="28" spans="7:72" ht="14.4" x14ac:dyDescent="0.25">
      <c r="G28" s="2" t="s">
        <v>33</v>
      </c>
      <c r="H28" s="10">
        <v>630</v>
      </c>
      <c r="I28" s="10" t="s">
        <v>28</v>
      </c>
      <c r="J28" s="10">
        <v>190</v>
      </c>
      <c r="K28" s="10"/>
      <c r="M28" s="135" t="s">
        <v>243</v>
      </c>
      <c r="N28" s="65"/>
      <c r="O28" s="65"/>
      <c r="P28" s="65"/>
      <c r="Q28" s="68"/>
      <c r="R28" s="66"/>
      <c r="S28" s="69"/>
      <c r="T28" s="69"/>
      <c r="U28" s="69"/>
      <c r="BB28" t="s">
        <v>194</v>
      </c>
      <c r="BC28">
        <v>2.23</v>
      </c>
    </row>
    <row r="29" spans="7:72" ht="14.4" x14ac:dyDescent="0.25">
      <c r="G29" s="3" t="s">
        <v>34</v>
      </c>
      <c r="H29" s="10">
        <v>2160</v>
      </c>
      <c r="I29" s="10" t="s">
        <v>35</v>
      </c>
      <c r="J29" s="10">
        <v>730</v>
      </c>
      <c r="K29" s="10"/>
      <c r="M29" s="135" t="s">
        <v>244</v>
      </c>
      <c r="N29" s="65"/>
      <c r="O29" s="65"/>
      <c r="P29" s="65"/>
      <c r="Q29" s="68"/>
      <c r="R29" s="66"/>
      <c r="S29" s="69"/>
      <c r="T29" s="69"/>
      <c r="U29" s="69"/>
      <c r="BB29" t="s">
        <v>195</v>
      </c>
      <c r="BC29">
        <v>2.2000000000000002</v>
      </c>
    </row>
    <row r="30" spans="7:72" ht="14.4" x14ac:dyDescent="0.25">
      <c r="G30" s="2" t="s">
        <v>36</v>
      </c>
      <c r="H30" s="10">
        <v>1110</v>
      </c>
      <c r="I30" s="10" t="s">
        <v>35</v>
      </c>
      <c r="J30" s="10">
        <v>640</v>
      </c>
      <c r="K30" s="10"/>
      <c r="M30" s="135" t="s">
        <v>245</v>
      </c>
      <c r="N30" s="65"/>
      <c r="O30" s="65"/>
      <c r="P30" s="65"/>
      <c r="Q30" s="68"/>
      <c r="R30" s="66"/>
      <c r="S30" s="69"/>
      <c r="T30" s="69"/>
      <c r="U30" s="69"/>
      <c r="BC30" s="62">
        <f>SUM(BC26:BC29)</f>
        <v>9.740000000000002</v>
      </c>
    </row>
    <row r="31" spans="7:72" ht="14.4" x14ac:dyDescent="0.25">
      <c r="G31" s="2" t="s">
        <v>37</v>
      </c>
      <c r="H31" s="10">
        <v>1250</v>
      </c>
      <c r="I31" s="10" t="s">
        <v>28</v>
      </c>
      <c r="J31" s="10">
        <v>380</v>
      </c>
      <c r="K31" s="10"/>
      <c r="M31" s="135" t="s">
        <v>246</v>
      </c>
      <c r="N31" s="65"/>
      <c r="O31" s="65"/>
      <c r="P31" s="65"/>
      <c r="Q31" s="68"/>
      <c r="R31" s="66"/>
      <c r="S31" s="69"/>
      <c r="T31" s="69"/>
      <c r="U31" s="69"/>
    </row>
    <row r="32" spans="7:72" ht="14.4" x14ac:dyDescent="0.25">
      <c r="G32" s="2" t="s">
        <v>38</v>
      </c>
      <c r="H32" s="10">
        <v>1220</v>
      </c>
      <c r="I32" s="10" t="s">
        <v>17</v>
      </c>
      <c r="J32" s="10">
        <v>370</v>
      </c>
      <c r="K32" s="10"/>
      <c r="M32" s="135" t="s">
        <v>247</v>
      </c>
      <c r="N32" s="65"/>
      <c r="O32" s="65"/>
      <c r="P32" s="65"/>
      <c r="Q32" s="68"/>
      <c r="R32" s="66"/>
      <c r="S32" s="69"/>
      <c r="T32" s="69"/>
      <c r="U32" s="69"/>
    </row>
    <row r="33" spans="7:54" ht="14.4" x14ac:dyDescent="0.25">
      <c r="G33" s="2" t="s">
        <v>39</v>
      </c>
      <c r="H33" s="10">
        <v>2390</v>
      </c>
      <c r="I33" s="10" t="s">
        <v>17</v>
      </c>
      <c r="J33" s="10">
        <v>730</v>
      </c>
      <c r="K33" s="10"/>
      <c r="M33" s="134" t="s">
        <v>248</v>
      </c>
      <c r="N33" s="65"/>
      <c r="O33" s="65"/>
      <c r="P33" s="65"/>
      <c r="Q33" s="68"/>
      <c r="R33" s="66"/>
      <c r="S33" s="69"/>
      <c r="T33" s="69"/>
      <c r="U33" s="69"/>
      <c r="BB33" s="2" t="s">
        <v>205</v>
      </c>
    </row>
    <row r="34" spans="7:54" ht="14.4" x14ac:dyDescent="0.25">
      <c r="G34" s="2" t="s">
        <v>40</v>
      </c>
      <c r="H34" s="10">
        <v>2610</v>
      </c>
      <c r="I34" s="10" t="s">
        <v>25</v>
      </c>
      <c r="J34" s="10">
        <v>1020</v>
      </c>
      <c r="K34" s="10"/>
      <c r="M34" s="135" t="s">
        <v>249</v>
      </c>
      <c r="N34" s="64"/>
      <c r="O34" s="65"/>
      <c r="P34" s="65"/>
      <c r="Q34" s="68"/>
      <c r="R34" s="66"/>
      <c r="S34" s="69"/>
      <c r="T34" s="69"/>
      <c r="U34" s="69"/>
      <c r="BB34" s="2" t="s">
        <v>206</v>
      </c>
    </row>
    <row r="35" spans="7:54" ht="14.4" x14ac:dyDescent="0.25">
      <c r="G35" s="3" t="s">
        <v>41</v>
      </c>
      <c r="H35" s="10">
        <v>4510</v>
      </c>
      <c r="I35" s="10" t="s">
        <v>25</v>
      </c>
      <c r="J35" s="10">
        <v>1580</v>
      </c>
      <c r="K35" s="10"/>
      <c r="M35" s="135" t="s">
        <v>250</v>
      </c>
      <c r="N35" s="64"/>
      <c r="O35" s="65"/>
      <c r="P35" s="65"/>
      <c r="Q35" s="68"/>
      <c r="R35" s="66"/>
      <c r="S35" s="69"/>
      <c r="T35" s="69"/>
      <c r="U35" s="69"/>
      <c r="BB35" t="s">
        <v>207</v>
      </c>
    </row>
    <row r="36" spans="7:54" ht="14.4" x14ac:dyDescent="0.25">
      <c r="G36" s="2" t="s">
        <v>42</v>
      </c>
      <c r="H36" s="10">
        <v>2150</v>
      </c>
      <c r="I36" s="10" t="s">
        <v>17</v>
      </c>
      <c r="J36" s="10">
        <v>660</v>
      </c>
      <c r="K36" s="10"/>
      <c r="M36" s="135" t="s">
        <v>251</v>
      </c>
      <c r="N36" s="65"/>
      <c r="O36" s="65"/>
      <c r="P36" s="65"/>
      <c r="Q36" s="68"/>
      <c r="R36" s="66"/>
      <c r="S36" s="69"/>
      <c r="T36" s="69"/>
      <c r="U36" s="69"/>
    </row>
    <row r="37" spans="7:54" x14ac:dyDescent="0.25">
      <c r="G37" s="3" t="s">
        <v>43</v>
      </c>
      <c r="H37" s="10">
        <v>2670</v>
      </c>
      <c r="I37" s="10" t="s">
        <v>25</v>
      </c>
      <c r="J37" s="10">
        <v>1010</v>
      </c>
      <c r="K37" s="10"/>
    </row>
    <row r="38" spans="7:54" x14ac:dyDescent="0.25">
      <c r="G38" s="3" t="s">
        <v>44</v>
      </c>
      <c r="H38" s="10">
        <v>4560</v>
      </c>
      <c r="I38" s="10" t="s">
        <v>25</v>
      </c>
      <c r="J38" s="10">
        <v>1600</v>
      </c>
      <c r="K38" s="10"/>
    </row>
    <row r="39" spans="7:54" ht="14.4" x14ac:dyDescent="0.25">
      <c r="G39" s="2" t="s">
        <v>45</v>
      </c>
      <c r="H39" s="10">
        <v>2340</v>
      </c>
      <c r="I39" s="10" t="s">
        <v>8</v>
      </c>
      <c r="J39" s="10">
        <v>720</v>
      </c>
      <c r="K39" s="10"/>
    </row>
    <row r="40" spans="7:54" ht="14.4" x14ac:dyDescent="0.25">
      <c r="G40" s="2" t="s">
        <v>46</v>
      </c>
      <c r="H40" s="10">
        <v>1560</v>
      </c>
      <c r="I40" s="10" t="s">
        <v>13</v>
      </c>
      <c r="J40" s="10">
        <v>460</v>
      </c>
      <c r="K40" s="10"/>
    </row>
    <row r="41" spans="7:54" ht="14.4" x14ac:dyDescent="0.25">
      <c r="G41" s="2" t="s">
        <v>47</v>
      </c>
      <c r="H41" s="10">
        <v>1670</v>
      </c>
      <c r="I41" s="10" t="s">
        <v>25</v>
      </c>
      <c r="J41" s="10">
        <v>520</v>
      </c>
      <c r="K41" s="10"/>
    </row>
    <row r="42" spans="7:54" ht="14.4" x14ac:dyDescent="0.25">
      <c r="G42" s="2" t="s">
        <v>48</v>
      </c>
      <c r="H42" s="10">
        <v>2780</v>
      </c>
      <c r="I42" s="10" t="s">
        <v>49</v>
      </c>
      <c r="J42" s="10">
        <v>810</v>
      </c>
      <c r="K42" s="10"/>
    </row>
    <row r="43" spans="7:54" x14ac:dyDescent="0.25">
      <c r="G43" s="3" t="s">
        <v>51</v>
      </c>
      <c r="H43" s="10">
        <v>2720</v>
      </c>
      <c r="I43" s="10" t="s">
        <v>25</v>
      </c>
      <c r="J43" s="10">
        <v>1090</v>
      </c>
      <c r="K43" s="10"/>
    </row>
    <row r="44" spans="7:54" x14ac:dyDescent="0.25">
      <c r="G44" s="3" t="s">
        <v>52</v>
      </c>
      <c r="H44" s="10">
        <v>4510</v>
      </c>
      <c r="I44" s="10" t="s">
        <v>25</v>
      </c>
      <c r="J44" s="10">
        <v>1620</v>
      </c>
      <c r="K44" s="10"/>
    </row>
    <row r="45" spans="7:54" ht="14.4" x14ac:dyDescent="0.25">
      <c r="G45" s="2" t="s">
        <v>53</v>
      </c>
      <c r="H45" s="10">
        <v>1530</v>
      </c>
      <c r="I45" s="10" t="s">
        <v>22</v>
      </c>
      <c r="J45" s="10">
        <v>460</v>
      </c>
      <c r="K45" s="10"/>
    </row>
    <row r="46" spans="7:54" ht="14.4" x14ac:dyDescent="0.25">
      <c r="G46" s="2" t="s">
        <v>54</v>
      </c>
      <c r="H46" s="10">
        <v>330</v>
      </c>
      <c r="I46" s="10" t="s">
        <v>55</v>
      </c>
      <c r="J46" s="10">
        <v>180</v>
      </c>
      <c r="K46" s="10"/>
    </row>
    <row r="47" spans="7:54" ht="14.4" x14ac:dyDescent="0.25">
      <c r="G47" s="2" t="s">
        <v>56</v>
      </c>
      <c r="H47" s="10">
        <v>220</v>
      </c>
      <c r="I47" s="10" t="s">
        <v>57</v>
      </c>
      <c r="J47" s="10">
        <v>150</v>
      </c>
      <c r="K47" s="10"/>
    </row>
    <row r="48" spans="7:54" ht="14.4" x14ac:dyDescent="0.25">
      <c r="G48" s="2" t="s">
        <v>58</v>
      </c>
      <c r="H48" s="10">
        <v>2500</v>
      </c>
      <c r="I48" s="10" t="s">
        <v>22</v>
      </c>
      <c r="J48" s="10">
        <v>730</v>
      </c>
      <c r="K48" s="10"/>
    </row>
    <row r="49" spans="7:11" x14ac:dyDescent="0.25">
      <c r="G49" s="3" t="s">
        <v>59</v>
      </c>
      <c r="H49" s="10">
        <v>2720</v>
      </c>
      <c r="I49" s="10" t="s">
        <v>25</v>
      </c>
      <c r="J49" s="10">
        <v>1090</v>
      </c>
      <c r="K49" s="10"/>
    </row>
    <row r="50" spans="7:11" x14ac:dyDescent="0.25">
      <c r="G50" s="3" t="s">
        <v>60</v>
      </c>
      <c r="H50" s="10">
        <v>4170</v>
      </c>
      <c r="I50" s="10" t="s">
        <v>8</v>
      </c>
      <c r="J50" s="10">
        <v>1500</v>
      </c>
      <c r="K50" s="10"/>
    </row>
    <row r="51" spans="7:11" ht="14.4" x14ac:dyDescent="0.25">
      <c r="G51" s="2" t="s">
        <v>61</v>
      </c>
      <c r="H51" s="10">
        <v>2530</v>
      </c>
      <c r="I51" s="10" t="s">
        <v>25</v>
      </c>
      <c r="J51" s="10">
        <v>1040</v>
      </c>
      <c r="K51" s="10"/>
    </row>
    <row r="52" spans="7:11" x14ac:dyDescent="0.25">
      <c r="G52" s="3" t="s">
        <v>62</v>
      </c>
      <c r="H52" s="10">
        <v>4380</v>
      </c>
      <c r="I52" s="10" t="s">
        <v>25</v>
      </c>
      <c r="J52" s="10">
        <v>1580</v>
      </c>
      <c r="K52" s="10"/>
    </row>
    <row r="53" spans="7:11" ht="14.4" x14ac:dyDescent="0.25">
      <c r="G53" s="2" t="s">
        <v>63</v>
      </c>
      <c r="H53" s="10">
        <v>1330</v>
      </c>
      <c r="I53" s="10" t="s">
        <v>17</v>
      </c>
      <c r="J53" s="10">
        <v>270</v>
      </c>
      <c r="K53" s="10"/>
    </row>
    <row r="54" spans="7:11" ht="14.4" x14ac:dyDescent="0.25">
      <c r="G54" s="2" t="s">
        <v>64</v>
      </c>
      <c r="H54" s="10">
        <v>1720</v>
      </c>
      <c r="I54" s="10" t="s">
        <v>17</v>
      </c>
      <c r="J54" s="10">
        <v>530</v>
      </c>
      <c r="K54" s="10"/>
    </row>
    <row r="55" spans="7:11" ht="14.4" x14ac:dyDescent="0.25">
      <c r="G55" s="2" t="s">
        <v>65</v>
      </c>
      <c r="H55" s="10">
        <v>1210</v>
      </c>
      <c r="I55" s="10" t="s">
        <v>17</v>
      </c>
      <c r="J55" s="10">
        <v>370</v>
      </c>
      <c r="K55" s="10"/>
    </row>
    <row r="56" spans="7:11" ht="14.4" x14ac:dyDescent="0.25">
      <c r="G56" s="2" t="s">
        <v>66</v>
      </c>
      <c r="H56" s="10">
        <v>2280</v>
      </c>
      <c r="I56" s="10" t="s">
        <v>25</v>
      </c>
      <c r="J56" s="10">
        <v>870</v>
      </c>
      <c r="K56" s="10"/>
    </row>
    <row r="57" spans="7:11" x14ac:dyDescent="0.25">
      <c r="G57" s="3" t="s">
        <v>67</v>
      </c>
      <c r="H57" s="10">
        <v>3460</v>
      </c>
      <c r="I57" s="10" t="s">
        <v>8</v>
      </c>
      <c r="J57" s="10">
        <v>1210</v>
      </c>
      <c r="K57" s="10"/>
    </row>
    <row r="58" spans="7:11" ht="14.4" x14ac:dyDescent="0.25">
      <c r="G58" s="2" t="s">
        <v>68</v>
      </c>
      <c r="H58" s="10">
        <v>2830</v>
      </c>
      <c r="I58" s="10" t="s">
        <v>25</v>
      </c>
      <c r="J58" s="10">
        <v>1100</v>
      </c>
      <c r="K58" s="10"/>
    </row>
    <row r="59" spans="7:11" x14ac:dyDescent="0.25">
      <c r="G59" s="3" t="s">
        <v>69</v>
      </c>
      <c r="H59" s="10">
        <v>4620</v>
      </c>
      <c r="I59" s="10" t="s">
        <v>25</v>
      </c>
      <c r="J59" s="10">
        <v>1660</v>
      </c>
      <c r="K59" s="10"/>
    </row>
    <row r="64" spans="7:11" x14ac:dyDescent="0.25">
      <c r="G64" s="7"/>
    </row>
  </sheetData>
  <sortState ref="M42:R67">
    <sortCondition ref="M42"/>
  </sortState>
  <mergeCells count="8">
    <mergeCell ref="R25:R26"/>
    <mergeCell ref="U25:U26"/>
    <mergeCell ref="BR4:BU7"/>
    <mergeCell ref="M25:M26"/>
    <mergeCell ref="N25:N26"/>
    <mergeCell ref="O25:O26"/>
    <mergeCell ref="P25:P26"/>
    <mergeCell ref="Q25:Q26"/>
  </mergeCells>
  <hyperlinks>
    <hyperlink ref="H4" r:id="rId1"/>
    <hyperlink ref="O4" r:id="rId2"/>
    <hyperlink ref="AC5" r:id="rId3"/>
    <hyperlink ref="AC6" r:id="rId4"/>
    <hyperlink ref="BR3" r:id="rId5"/>
  </hyperlinks>
  <pageMargins left="0.7" right="0.7" top="0.75" bottom="0.75" header="0.3" footer="0.3"/>
  <pageSetup paperSize="9" orientation="portrait" r:id="rId6"/>
  <drawing r:id="rId7"/>
  <legacyDrawing r:id="rId8"/>
  <tableParts count="3">
    <tablePart r:id="rId9"/>
    <tablePart r:id="rId10"/>
    <tablePart r:id="rId1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V i s u a l i z a t i o n   x m l n s : x s d = " h t t p : / / w w w . w 3 . o r g / 2 0 0 1 / X M L S c h e m a "   x m l n s : x s i = " h t t p : / / w w w . w 3 . o r g / 2 0 0 1 / X M L S c h e m a - i n s t a n c e "   x m l n s = " h t t p : / / m i c r o s o f t . d a t a . v i s u a l i z a t i o n . C l i e n t . E x c e l / 1 . 0 " > < T o u r s > < T o u r   N a m e = " T o u r   1 "   I d = " { 7 E 8 A 0 9 D 3 - C C D C - 4 1 5 7 - B 4 B 1 - 1 F C 9 E 6 5 3 4 6 E C } "   T o u r I d = " 4 4 6 c 7 e c 2 - 0 c 5 d - 4 a 3 1 - 8 c d 8 - 8 8 7 1 0 f a f 2 f 3 f "   X m l V e r = " 5 "   M i n X m l V e r = " 3 " > < D e s c r i p t i o n > H i e r   k o m t   e e n   o m s c h r i j v i n g   v a n   d e   t o u r < / D e s c r i p t i o n > < I m a g e > i V B O R w 0 K G g o A A A A N S U h E U g A A A N Q A A A B 1 C A Y A A A A 2 n s 9 T A A A A A X N S R 0 I A r s 4 c 6 Q A A A A R n Q U 1 B A A C x j w v 8 Y Q U A A A A J c E h Z c w A A A 2 A A A A N g A b T C 1 p 0 A A D 3 + S U R B V H h e 7 X 1 3 f 2 P J d e U F Q D C C O c f u Z r P J z u y c c 5 i g 0 Y w 8 t m V Z s q 2 f b K / T 7 n 4 I f 5 T 9 x / b u y i t Z G k 3 q n H O O D N 0 k m 8 2 c M w m Q B P e e W 1 X A A w g Q A J s z A 7 J 1 y G L V q / f w + F B V 5 9 1 b t 2 5 V 2 b 6 8 f m + O / o h 5 c B X t p M n J O Z q Z m S G v 1 y t h b k 4 V l Y k B k 7 b b i N K T v Z S c Q J T o m K N c l 5 d s c z P U 0 9 Z A z o Q E 4 t M 0 P j F B D o e D 2 m g L 2 R 1 8 o Q U O v u B Q l Z s u N y b J c X r y H O 1 f 4 5 H 0 r J e o d 8 x B T 9 r V Z / A / 7 T O j t G / N N D 1 5 8 p S y s r J o c n y S d u 7 e T j Y b / p O 6 B s 9 8 v i F V j q 0 w 1 1 h R W z b N D 9 h O L p e L X O k Z N D 0 9 T Q n 8 3 O P u O Z r 2 2 i k t 2 U l J j h l K S U m h O Z u T v r n 5 S H / y j 7 D i j 4 Q K Q l r u G v J 4 c 7 h B z d D s 7 K y v Y Q K h i J S U M E d H 1 6 m G L + D 8 c A V 6 h c k y N a M P g l C W N U v V h T N 0 o V 4 R y o r C D C / V l n K D Z 3 j 5 5 j e b E 7 m h 2 + i D D W 5 q b H z F x J + i 0 t J i R a x p B z 1 v 8 1 C 6 + z W V V 5 R T Y o q L 6 r q d 1 D 1 i l 8 8 D C Q 6 i 7 F Q v 9 Y / b + X G t 5 J q j t a 5 u J u s w F R U W U D K T Z 5 b J d O l V k p A Q 4 V T N F C U m J l K C 0 0 k d f W P 0 q K F Z f / a P A P 5 I K A t S C 3 b S 1 J R X i G T I Z I K B N Q 1 s L + i i x A Q 7 9 f b 2 0 d q 1 l T o 3 E O e Y J O C k C A b + e K g C P 1 L l o T c D D g n h c J o J d P 1 1 I k 1 4 F A n c U x N U m 9 d N F e U l c n y l M Z E J 6 y f I Y b 5 n s n O O 3 J y X z M Q P B x D r e a d T r j M 4 s W 6 c W t + 8 Z a k 6 z v c v o 7 v d h Z x r o 2 P r Z i g 5 k W j a o 1 4 i k G b f 3 n n O 3 y / 8 / d 8 n M K H u v / c l k e T K I 6 + z w i e V j H q 3 E J G A 1 M Q 5 O l j p p p c v 6 m j D x v U 6 N x B n X s 6 X O N E C 0 s 8 0 c q i U e 1 d 7 R D o F Y x u r a w X p X h p j q Q V J 9 L p P q Y Z 4 P q i N D r 9 w i g h I o R k m P 7 8 j a H R 0 V E g F Q F U d T t l C I 1 M 2 2 l T i p f J s L / X 0 9 N L r 0 Q I 6 v i m J X r 7 p o 5 b O H r n 2 f Y b t y x v v N 6 H S i 3 b Q + L j X 1 1 c y R D I E C k U k w G G b o x M 1 b n r 9 u p k l 0 x q d G 4 i b T Y k 0 y o 0 8 W o A 0 1 h d 9 J v f J a s t Z I j C x I h E T 6 h 8 Q f B 1 I d W i t R S W N E q a f h T L p 7 x u g s f E x K m d J 5 S U 7 X X 6 V I u c 2 Z b T Q L J d b e u E 6 y k 3 j 5 0 x O p a 9 v P Z V z 7 y t s X 7 3 H h E r K 3 U F u t 1 L v 0 H C C + 0 q h y G T y S j K 9 V J 0 3 Q d 3 d 3 d L Q r B i Y s N O 9 N 0 5 9 p I A 3 / o a i a c p I m a N E 1 u r s T E g j O b 7 5 + g y d / u A U S w E 7 3 W l x 0 t B k D C L F A n A g F P 9 B y L L s W a r I m Z X n A G l B 3 u h g o 7 o u G y W M v a K W 5 j e 0 a / c O y s 7 O o r N 1 y X K P U + v d 1 N H R S V P c j 0 O f L Y l J d e V x I / + P E A / y H u C 9 J J T d 4 S R H x h Y m 0 7 S P S C B K N E Q y g M r T 1 D V F u y q d Y t F 7 8 N Z J o 1 N 2 s c g Z r M 6 d o e q C W X 0 U H u f O X q B T p 0 9 I G p 8 / H 8 I w E Q v K m T y d w 3 Z W 3 c K z B m c 2 l U x T U Y Z X 1 E g Y K f I S B q i z r Y X y 8 n M p J y e H X z R e S k x 0 i r Q a H 5 + g r K x M m u G X z 9 D g I D 3 s L S W b 3 U 5 O f j m c q P H I N Q h Q D a e m 3 P S o q Z v G m G T v G 5 h Q D 9 4 r Q u W V 1 9 D g S K q Y h U M Z H q I h k x W w v q F D b 2 O J g 3 5 M Q 0 s 3 / W R f b t Q S o J n f + h k Z 6 Z S b m y P G h m u v 5 / e R v i v g E V P d z Z S Y V U G D k w 5 a n d Z N a 0 v T h R Q G o 6 N j V F / X Q N t 3 1 N K t m 3 f o 4 K H 9 Q h w A 6 q V J f 7 j R T 6 q + v n 6 W v g 6 a t C V T / Z s O O f + + w C 6 l + p 6 E 1 N x K G h h O I Y / H 4 y O T V T o F E y d U n h U 5 a V 4 x a a M v d b z a Q 5 u K Z y j H / S J q M q H f 1 v K m j V 6 N w I K m + j u 7 K q Z p Z P D 7 6 d z j m 4 0 n r R E y A U 0 j e U J w K 9 L T X a K + g W Q g E 0 z 0 Y + P j c g 7 9 t m 1 l H i m j s y 8 T q a X l D X V 2 d l F e X i 6 l u V K p J D e d C l w J I e t i p Y b F K e v L E K 6 C T T T p S R f J Z N Q 8 B C A U a R Y i E r C 9 f F o a f z B G R 0 Z 1 K j I w c L p r Z y 2 V O l t 0 D p H T O 0 K 1 e T 1 0 m v s m C C A r r H g L o Y J V v O P V b j q 2 z k 1 r 8 8 I M d E U B q H B 1 L x u k j A w g o c Y 5 G K S k J F M C k 2 t c k y q f 1 V 0 Q a / 8 a N y W x p C s o y K f + / g F y O l l q z 8 3 Q t o 1 V t C b r 3 V T Y 5 Q R 5 m a 7 0 k J J d R e M T C R G 9 H g A c L 0 Q m N G 4 0 I D Q k K y D x 0 J B y 8 n L I Y 2 m Q k Q A J k J G R Q Q P 9 g 3 T z x m 2 5 z 7 r q d a w 6 8 b N z g B E B q u T e V Z 6 w k m 9 9 0 Y z 0 Z R J Z G K z N n 5 X n g 7 E g Z a a N v 1 D g c y 6 E 5 I R p 6 u v v l / T Y 2 B i d O X N e n u f 4 y a O S Z 5 C U l E S D g 0 M B 5 Q T p i u c E 0 N f C u a H h Y b E C 5 u d l 0 d q C 9 J B 1 s 9 I C V 1 e o 7 J U T k p l M U 9 N p v j 5 T J D I t B D R S 0 2 i s e P j w s T T A n J x s O n B g H y X y 2 z k W p K a m U H t H B 4 3 y P d A Y Q y E z d U 7 + P 8 g C q V W p J Z H u w s w D y D f b 9 5 J O b / D I Z 0 7 y Z 6 r y Z 3 y W x Y 1 F 0 z J G V Z z p N 5 q M j I z R 6 j W r y M 6 S y u P 2 0 O H D B + n m 9 V s i p Y J R U l J M 7 e 0 d Y c s Q c b r L R Q M D A + L O 5 J 2 a o I r c N D 4 T W D 8 r L d i + v v l w 4 V a 0 j J F e u I l G x x 0 + N Q + V b K 1 w K 3 C M R h h u w B 8 N M t Q A K a Q S A K P C Y u H m x v u q 8 T V t 2 r x B 5 y w N b j A Z 9 h / Y K 4 a C a A D z d 3 J y M h M 8 V V 4 + I y M j V F x c J O e a m 1 s o M z N T X h p W P H / + k j Z t 2 j D v f 5 h j x E + f P m d B O U e l Z S X k S H D S k 1 Z V Z i s R K 9 Y o 4 c q v p D G L m h e J T M B C 3 j P B Z B o Y G K T H j 5 5 I A 3 s X M g F J S Y n U 3 d U t z 7 m U q N 2 2 V S x u k T C j h R S k T l 1 d P Z f Z t B A L a l 0 X P x e w Z s 1 q + a 4 g B 8 r U A G T q 6 e 0 N W 6 a I c U 3 t t i 1 U W F h A e b n Z V J C 6 c h W j E O / c 5 Q + 7 I 5 H G p / w G C F S q t Y K t C D 4 O h Z p C 1 Y D g i n P z 5 m 1 q e d M q x 2 i w 0 b 7 9 I y G H G x p U r a V E c n I S 9 U d B K D j L X q h X 5 v p N W 7 f T g w e P 6 e r V 6 0 K i o i J l g T T Y s m W T E O r t 2 3 a d w 3 2 8 / H y 6 f / 9 B 2 L J F G b W 1 t f v q Y k N V B a U l B X r b r x S s T K N E 2 s Y A a 5 6 p 2 H A V H g 6 4 1 y l W 9 V b l z N K t W 3 c p L c 1 F + / f v p d W r K u a p P u + K v r 6 l V 4 N g 6 m 5 k V T I a Y H D 2 Y k M S O R O T 6 f C R g 3 T s 2 G G x 6 I U C p F d 5 e S n d 5 j K B a o h y H B + b o F t P 2 m l 4 E q X m h y l j S L / + / n 4 5 B s H K M p w s 9 b n P w e d W U l h x s j c h a x t 5 P I s n k 1 H t 4 D k A 7 2 4 I D T S E 3 b t 3 c B r / Y + m B N 7 5 7 6 r v x K o h F g s L 0 j o H l s y 9 Z s o 1 F / t z e f b v l 2 Q d Z / U 1 J T a G M 3 F K 6 1 e y k p 3 r e l o E p a 0 w v 6 e v t k z Q k 3 5 5 1 8 J L 3 1 9 1 K C C u q D 5 W c V 8 s d / O j 7 T A D a W 1 r i H K U 4 V R 4 m B 2 5 M b 6 a t R W M + U j 5 5 / I y 6 u 3 v m 3 W e p 0 N 8 / S J u 3 b t Z H S 4 u K i r K Y n h u k A u 6 / T Z w n b U I B J v Q c 7 k P u 3 r 2 T C p L 6 a H J 8 m D q G 7 T Q 0 q S / Q M M + Q k Z k h Z Q p 0 d n b S t l X c / 7 T U 4 X I P K 6 Y P l V N e S 5 O T a i 5 T L J I J h + M e G 0 1 O K / U D c 4 j K y k p k E h 3 u M 8 W S A 8 e p a a l 0 / t w l m p i Y U B 9 c Q h Q W 5 l P T 6 6 Z 5 z 7 Y U y C / I F + + G a I H x L P g C A r d b E m k 6 s i u i D 3 l 5 e f S T X c l S j r e b E 8 k d N B y H 7 w c 1 9 M 7 t e + K l A e m G f l 5 1 v v J e X w m w f X v 7 0 d L X 4 g 8 B 1 1 Z R 9 Y x O b 4 I V C z V Y F 0 u p A 3 q a w / 1 7 D y k z K 4 N y c 3 P J 6 U y Q c R R g Y m K S 6 u v r 5 R i T C Z f S i D A 0 N E R N T c 0 0 P D R K + / b v l q n m S w F Y I / m L i x S J B d Z p I F B 9 Q Z J Y c K 4 u S a y m G Z j K X x n I L K i h x o J Y s 7 6 a Z q Z n 6 O 6 r L n 1 2 e Y M J 9 X j Z E 8 q R u Z U l S e D A b S x k A j D 4 C f T 1 9 c m b N h R e v K i j N Z W r Z d A T j q L 7 D + w R L 4 e l B D y 1 L 1 + 8 Q r v 3 7 q L 0 9 H Q h N A D P b z x b G k t K Q / B o M D Y 2 T i P D w 1 R S q m b 1 x g J D K q j E B x c x p 8 p 8 H m r 1 6 f U e 6 h m z U 6 E e G A e p 3 G 6 3 q I y Q V C B + Y 5 + q g + U M 2 7 d 3 l j e h M o q 3 8 t t u V i o F Z D L 6 u Z V A k c h U l T / r 8 z y 4 d u U 6 H T p y U N J W w J 1 o Y n x c O t Y A y A t n U H g R Y J w F v m v v g p m Z W R k 8 h Y p Z U 7 N O p C 3 U S w z 4 Y l w I g 6 3 r N 6 w X K X n 3 z l 0 m 8 z 6 Z l x T J 6 I B y w Y z i L Y v o o 2 E 6 f n 2 3 3 8 A A T 4 1 Y 7 D J t Q w 6 Z R d y q p / X j W V 1 J s 3 S g c i a A U C h L P O f w 0 D A 1 D s R O 3 H j C s u 9 D j Y z M B U g m I B K B r K g u m P G R C X N 9 V r M E C g V Y 4 a y k Q V 8 A a t + 6 d V V 0 5 f I 1 6 m X p s R j g 2 e H h / f z 5 c 6 q o K J d x H v T f X K 4 0 c T T d w 5 J q 7 7 6 9 3 O f g x i h 5 e f T J j z 8 W d f P s m Q v i 3 W 1 e I q E A B 1 w Q H + Q E W S E B 0 Z A R 4 H W P a f / h P m 8 f C / Q 8 h x o X C 7 D w j L v n m T 5 S c I y 3 U E N P g t S R z W Y X T x N 8 F x A M q 0 I t d z j + 5 h / + 5 V 9 1 e t k h g V W 9 Y K t e M J k W I h d e 7 j u 1 x / j A 4 K C M X a E R h w I G J r O z s w P m C g G Y g F d Z u Y b G W b W 6 e e M O l Z W X z r s m H G A 5 R H 9 t P f c j y s r K u P H P / 5 x q b K x u P q + n y r V r J A 1 g L G h t F f p x N n p w / 6 E Q 0 + V K D 9 m v e / H 8 J d + / X K 7 B d 4 T 0 A 5 l G R k b F 1 + 5 t a x v 3 D R v o 4 f 1 H 1 N r 6 l s Z Y 6 k 5 O T t I E h z X Z 0 9 T S z 2 X t V H O f O o Y d M i 4 X L Y o K 8 6 j 5 6 S W q r q q g g X E 7 V W Y O U c N A N j X 1 O + n t U C I V p 4 2 J 9 E U 9 g f A V + Z n U P b J 8 J y b a z t x 5 E v 3 r P I 6 Q n F l K 4 5 6 s g A F c w E q g h c g E m H 4 T c P b M e T r 9 w U l 9 N B / P n r 6 g D R t r F i Q L p M C V y 9 f l P p j O H g 5 4 Z v T B N r M 0 g t o W D e C I m p a W F t Z 5 F p a 8 x 4 + e k i s 9 l a q r 1 4 m U M / j 2 m 7 P 0 w Y e n h B D R A m U H N Q y q q J u l 2 v X W D B n 0 x S 0 w r S R W o P + 5 c e N 6 u R d u c r U 5 Q y x 9 e C b 8 r / J s 1 h S y J 0 R i 9 o 1 O U e f w 8 u x P L d t x K L c 3 R y r c S C c g F j K h U e C N j X k 9 m L I A L + u F M D I y H F H y 4 E 2 7 Y + c 2 + v I P X 4 m j K S R B M O B w e p V V R D i t R k s m A B b H + / c e 6 K P 5 g F c D r I M g E / p d D x 4 8 E r U O U 9 d h 2 M B 3 j Q V o 6 F B x c d + s 7 E w 6 X K N e E C j W g Q l U Q m z Y s K G G 2 r l M H j 1 5 K p 7 5 s B x C 0 q G e Q N K 3 g w 6 6 2 Z w s x 9 m p r F p b 6 n o 5 B d u Z u 8 t P Q q U V b K H h Y a W + o A J i l U 6 j A + 1 U O N d A M N m C B C m s P k U y g X / 9 1 b f 0 8 Y 8 + 1 E c L A 8 + D h n z h w m X 6 y U 8 + E e L D e A H H 0 6 L C Q r E U x o r h 4 R H 5 v p g N G w 3 w P 1 + 9 a h J V d P O W j d L 5 f 1 d Y T e n H a 9 z k X G Q P / O 3 b N u k v A p c b E 2 l 2 z i Y O u t 7 Z G c p 2 P 6 d E 2 6 S o w K 8 G o 5 9 X F i 9 Y Z J H 8 s O A X n L x x Q R p D n G j J B N g S U u j Q o Q O U n 5 d H a U y o S G Q C M M U i W u B + M G 9 n Z W b Q p Y u X 6 T 7 3 c S D d 9 u z Z t S g y A Z A 2 0 f b N A B g j s L w Z P N m X g k w A X s I G F + u T 6 E n 7 4 i y b 8 O t D H w 7 A G J X x d o d U 7 E + o o a p 1 6 y L W Y b y C W 1 K Q z I r z k J K 7 O U D V M y E W u D J y Q q 7 e G g 6 4 P 2 b W x g K Q 6 u i x w y w d N l P l m t W y E E s s h A g G v n O s w D P I w O 4 S Y V N J 4 D N 0 j d h p c C L 2 d z L K A R I c w H J q B p K y Y e n n Z O 6 v J V J V D v q B o d t B v I Z l 5 2 0 + M W k L 6 D c F I x p y Y f Q e 9 4 o F x a X F O h U b o K Y 5 E 9 9 t j A q Y n J i I + c U B Q s F x d a l Q k j l L R 9 e 5 a W z Y 7 x l / N 2 j 9 w V D A c y P g p T A 8 P E z P n r 2 U G H m 3 m q y r P K l V k / C D N d W n J i e l n p Z T W F Z G i c S s t a L q v Y t 0 A l x J 4 c d t Q g G W r k n 9 R o 0 V 9 X W N r H K F n g Y R L f C d O 7 t 6 R H 2 L B W i c s R o j F g J e D p 1 t r V T u q N c 5 C s 8 6 w s 9 t 6 h 8 Y k H U H 7 9 1 7 K H 1 I D B X U 1 F T R q l U V c t 7 s M A L g e X W C r j P R u i b S q S S d p X p Q O 4 j n s K z 6 U J 6 Z F F / f K R S i J V d N Y W y N b G 7 O S 0 X F s U s o P A + 8 H M L N K 4 o G I P O F 8 5 d p 0 6 a N Y j a P F a x B L R n e t L w R 1 X f X r u 3 i j m S A s a n n n Q k y F P B f v / k 9 f f G 7 L 8 X w A A v q v d v 3 Z R F P T H / Z v H k T F R Q U S P / O 4 I 5 F w o l 0 0 g G k e j u U Q H b v 8 j J M L J s + l D M 1 j 9 + Q 7 y 6 d 8 J m p y V F q b H g l F R 4 O 1 v + B C p 5 m Y k Q D X I 8 3 O Q Z G 0 a h 2 7 t q h z 8 Q O 3 O v l y z r a u X M 7 Z W e H H n 8 K B z i f f v P 1 W U p O S p E y W w p g T y s s K I P y C P b t a x 9 y i G f 6 T z 7 / l D 7 9 y S d i e E D 5 w u Q u B N H A O N q T x 2 r 9 8 5 E p u 2 w + A J i y B p F Q 3 4 Z Y 4 9 N O c g n n / G 0 h n o P t 3 L 1 n s b f K H w K u T d x I / Q t U + i p A w 6 T R K V x o b Y j J 5 n N 0 7 F C t m M o f c 8 V u 3 1 4 r f Q 2 Y t T E Y 2 9 P b R 6 8 b m + T / i L r E l Z q Z k S 7 E C J Y 0 6 B N g q S z 4 o I F A f b 3 9 0 n g z M j P F C I F x p v z 8 0 I 6 2 0 Q C L 9 M t 2 M t r E H C 1 Q F g 3 1 j V R c U i Q O t t Y G / S 6 4 c e O W W C q N h M H y 0 3 1 j f h G 4 r W S c C j L D q 3 8 G G L y 9 0 5 J A k 7 P K I x 3 A M 0 I T g G V i d n a G Z q Z R 1 9 M 0 O + O h f R X j 1 D 6 x e I P O 9 w n b u f v L g 1 A z S R v F 1 I o G a 6 S U g T U d C V b v C K w R c f f O f a 5 M u 4 z z 7 N i 5 l d J c L s r N i T z V A X 2 B p 0 + e 0 9 7 9 u 6 U x v G l + I 1 v a g J y h g G e M p W F j v 6 X / + P X X t G 7 P j 2 n P m t g k D D w 2 8 L 1 g Z V x K Q O J 9 + N E p u n 3 7 H m 3 Z s l G I 9 a A j n U a 1 l M E s 5 9 2 r I k t y k B B k D A T u o V 6 S G I + C q j w r w U N 7 K 8 a o Q 6 9 u G + 9 w / P K f / n v c + / I l 5 W y i q a l A B 9 j F A E u B W b 2 l M T 6 T 4 E y g V a s r a G v t F v E k T 4 0 w D w n q 3 M U L l y m T V Z c d O 2 o p K T F R 3 H x u 3 7 x L h U U F A V I M z 4 o 1 + x 4 + e C T 7 L M H r u 6 w c P n v q L W 4 I h q k Z u K / H 4 x Y X I n z P t r Y 2 e l n H k t K 1 m l Y X J M n E v 2 i B / 4 W d M D B o v Z Q Y 4 R f Q s 6 f P Z f o 6 + n a D g 4 M 0 1 v W S d t T k U N t w E k 1 N 2 6 g y f 1 a o E Q 6 v e x 3 0 o m u + Z d D 6 G a Y V l x 3 q W o X B C a K S l A m a o s g W x R 8 a L K G e x 7 2 E 8 q Z s l I F V q G B o b I C V W N G S b E f 5 N G U k u U V F g 8 c B G j T m G E E t i j T 4 i f / x / N k L c R z d t m O b z D S 1 A o 6 m 8 A f 8 j P s P x i s d Y 0 B Q B d G f w P / C N V e v X O P v w K o p C 7 I s V g 2 z c 3 P o 9 a t m I a M r L V U 6 / f h c M X / G m Z p D / / Z v v 6 a C D S e p r L S E D q y N / P b H c 1 6 / d p P g B f I u 6 m Y o 3 L v 3 g G r 5 x Y M X g n k Z o D 7 g X J v i S q d H v U W U 5 / J K O Q c D m 7 i F 2 u 7 U A C v k 4 h r + A n x P T O c w E m p a 1 L + t e T 0 0 4 n y 3 5 d q + D 8 Q 9 o Z w p 2 T Q + U y D 9 F W v / y S B a M g H p 4 w 8 p w T t J D Q 2 N l M 3 S 6 E c / / k g a + d M n z 2 Q h / I U w P D I i 3 t D o e 4 W a V I i G h c 3 X n j 1 9 R g c O q h 0 q 4 K x 6 7 P g R 8 a U z w P c w A 7 z w 9 c M 9 0 d E P N 5 / q 3 3 9 z i V a x h M L u F 9 F K H E y J g N 8 f H G K X C j B y Y J W j j z 4 + r X M C A W / 8 3 L w 8 c X o 1 a j V 2 E 8 F 8 q l 5 L P y s c X E l z M n d K 6 t d H K N Q 5 C O W m 2 o I B m q B k m r b H N n T w f c O O F 0 0 8 B 0 o q l s Y a C 3 F C Y Y 7 v k Z Y 4 K 6 v z r G J 1 C H e 7 e u U 6 P X / + Q q Q I L F J o i N e v 3 1 Q f s A D n H 9 x 7 K K 5 K 4 W b o o u + 0 b t 1 a I R O s W D d Y S m z Y U B 1 A J s C 8 3 R E w r p S Z m R G W T M B n H + y W K R U N D a 9 0 T m R g 4 U 3 M 6 o W 7 0 m I A o w H U x o s X r s g x y h 7 O t s d P H J H j U C h l C f q I r x l + + T t 6 9 D a B L j U k y g p K 0 Z A J 8 F j 2 9 1 V A A 9 B J T j z p S q N U c g e 0 j X g M 0 X 3 b H x B w + Z K 3 l g 6 L x e T E G E 1 z p W E 2 7 J 5 9 u 2 U e 0 4 G D + 2 S 1 H k g M D M C i T z D A p D J q J Y D / + e 0 3 5 2 j H z u 0 + g w P O Q 7 J g 9 i w k j l L t p u i L 3 3 9 J n R 2 d d P T Y E Z n 1 + 2 6 v A D j E D t M N J v i J k 8 f C z t M K B T w f V D 6 s 8 r o Y o N + C + V E Y K s D 3 h 2 Z Q W F A Q U S 2 G k e f T T 0 5 S z 5 i D P L P c u i L A O v 3 L Y x k a N O X G r x 3 5 C 8 x 4 H Z z y 1 0 u 8 I r 4 J Z b N z g w 1 v 0 Y u F Y K m u D O p P 2 c k d Z 7 U s G C Q J i A S J c f z E U Z l 2 U V W 1 V g Y e Y f E D Q B Y s 4 L 9 9 Z 6 1 I E g A L i 5 z 5 9 h z V 1 T V w g 3 1 G l y 9 d p T N M u P / z H 7 + m k 6 d O 0 L b t t U J W q H H o q y 0 W a M S X L l 6 l I 0 c P S 3 / t 9 a u m A K K H A 4 w b v / v t H 2 T i Y E d 7 l 5 A e w G c x N G C + W z C s Z Y l 1 K F A 2 I D H 6 r j 0 9 f b 7 v H w 6 Q u L g e / Z 3 B z k a d G x o Z y e p 7 G K d Y K 4 J p q C i l c k f c T n 5 O S c Y t b O c f v I j b R 0 z K 2 c A N A C b U Q G d Y g 1 g I Z T D c 2 0 o / P R K 4 v L A V G F f q 7 e m V h v S m p V U a N r b I 3 L d v j 6 R x L p H f 1 G Y a B Z 7 h 8 c M n / D a f E c O C G T M C A X L 5 m n A T A i M B 6 m c P 1 g L k 9 O v G 1 0 J 8 T E g s r w j c z 9 c K P M u N 6 7 e p u q Z K D B K Q m h f O X 6 I f f f I h k 6 u D e n v 7 Z S 0 8 9 O u S k z F A q z 4 H S X j 1 y g 1 a s 2 a V z A L G J M l j x w / L / a A W Y 9 r 8 y V P H K N J K T H j Z Y H b w X i 6 r 6 6 1 q Z V 2 n A 0 Y G t e U O d i 4 x 1 k r r V J B g Y B z K K / 0 n D j B K z H g 4 T J O X + 1 K F a R O U W b C 0 q / Y u J W z n H 8 Y v o S h 1 A z c K F O i M V K 4 J B t Z 0 L K j K m 6 X K / B n x M 7 t 4 7 h L V b t 8 q a 0 M A 6 C 9 h n Y b 8 / H y Z g o H / 8 f J l v a i C 8 J D G G M 8 J b l w w a h i g 0 W 3 Y u I G G B g e o i u + D a 2 D o Q M N a L H 7 7 m 9 + z 6 n h I C H L k 6 C E Z K A 4 F l A 2 I g 8 Z X X / + K X G l p t H H T e p E Y w F d f f i M q I 9 Y U / P h H H 8 j k P h g X 4 D Q L c 3 9 p W S l 1 9 / T Q Q S 2 x 0 f 9 b V 1 0 l C / s D U G c H u Z z W s v S O B n g R t b 5 p l X s s h L C E 4 v L G y 1 M I B E K J U U I R a s b j p m 1 F Q z S V F v 6 F + E P D 8 a t / / h / / q s R q / I V Z O 6 s Q r B c s J Z k A 7 N K e 7 e i j C S b I v v 1 7 6 M H 9 R 7 L g C o D 7 X u O 3 N X a L Q K N E v w l v e 4 S N m z Z Q d k 6 W N M R k S 3 8 C a h U k F s a Z S k p K W C p c 5 P v u m 2 e Q i A b 4 W l A n i 0 s K u a N f K l v A 3 L p x W w o k 1 H r q j 1 l 9 h Z q H 5 y 4 p K Z I 1 L Q y Z I F H v 3 L r H m j P 6 j l W + 4 Q F 8 1 0 2 b N 9 L 6 D T X i z Y F Z v v A T x L m K V e W y G I w B 1 q 5 4 9 e q 1 E C 8 a Y F 2 M 9 n a 1 L U 7 w 0 I I V r / v m l 4 2 v T r k P p z Q S F Z C G K d 0 7 6 6 U k T z c l Z u b O a y v x E u K 6 D 4 U B T x T y u 5 A n H F p 6 p q m 8 v E w a H x o T p B U a I P 6 n 2 U P W w F w D g E g w S F i B 9 o t G b S R p T n b 2 o h 1 i Y W 3 0 u K d 8 B M f / P X n 6 O J O 1 X q x v k K A w t 2 M q P d T K l u Y W s b A h Y P 8 m Q y Y A E u f n f / U z s f Z h M w J 8 N h g w x Y e z M k L t h K e 4 i 4 k Y C 7 Z u 3 S R r m G M 8 b D K o r I C F a l P q W 6 X U j x z 4 P 9 E 8 G f v 6 g t 8 n m F B W f s V P S E g r 0 2 + p p S c T k J 7 j r x i 8 k U G I w a E h 6 u 7 u p o + 5 z x E O N 1 h a Y E D W C p i o 0 Y 4 n W V L h e d M s b / h Y A Y d a e D l Y i Q E p u b V 2 M 1 2 7 d o O u X b 1 J X / 3 h G + k P o Y / 2 y Y 8 / W p C 8 k B j o / 6 1 i y X P u 3 M W Y y h P u V S W l x b K t T a x A X 2 z 3 n p 3 U 2 d E l J n d Y A M 0 s X Y x P h c f 8 5 7 P m 4 P k H B / B i 8 L e V e A p x K 6 H m H O n f G Z m A w U m 7 O G Z i c c k s l i g Z / B a + d + c B 3 b / 7 I K w v H y Q Q p E C w + R g r + T g c C b K u H 4 C + V 7 S A V M Q Y U 2 P D a + m j t T S 1 z F u 8 B V K r i / t 1 e / f u p l M s r T 7 7 k 0 9 k e j s M H t b V j c I B 5 I S 6 t 4 n 7 e d e u 3 h A j Q z T A w i o V F R W s g t b p n N i A Z 6 u s X E 2 b W b 0 c G h q W v b W A 6 6 9 D P 7 P v H W L q 3 V Q / Y k t T c M 6 G n y X w Q y N u B 3 Z Z Y A i h T F h q D E 3 Y Z O H G x 0 8 b u d G U i e q z a 8 8 O S g / T + Q c g P S A p g g E L H N Q q 6 P j w x 8 M 0 B 0 x l c M 8 b r A w E C H T m 2 / N i c M C G a 7 d v 3 Z E l m K 3 S C d / 9 + b O X s m q s m T o R z g E 3 E r C u H y y F l y 6 p A d t I U E R 0 y Y p L W H M Q 5 F 8 M Q C x 4 U h w 9 G s l Z F 9 9 b f X d / n Q f W P e Z a j 4 5 j 5 V l / W 4 m n 4 P j V P / / P u H S O n b X n S Q W G I t R S E s y Z W y 1 7 Q m W l z o l Z G P 2 j K S Y H J F E w 3 E w W q K F Y 2 M U K e 2 I a n b n T T g m F 2 6 l 7 K o d 6 J t O p d S h J l j L u H n X 4 d r O w A v f 5 5 u s z Y s K G s Q F k w Q I u w e 5 F s B h i 0 N l q u X s X Q D 3 E 4 v x t b R 0 y H B A N O V E W e A 6 o x g t 5 d Y Q D V G G z O A 2 / c 6 i 5 P 7 y x R u p b G y S 8 x j i h w 6 y X + 6 j c J k Z Z w B Y X R K 8 F f J + I 2 z 4 U p i 9 Y i b O U J A o G l g a G X o 8 G i 5 m x X R 3 d o t 4 F I y 0 1 j Z 4 8 U p P j A H g D X G 5 M o l t v 0 i i 7 b I s s / o I G 6 k z 0 q 4 T w T 8 O M 1 m D A w A D X I 6 t F L R R g J E l K V q u 2 h g I a H I w H G M h F 2 g r z Q o J Z H b 5 4 P T 2 9 M k 8 K + b 2 9 v e L H G C 1 g 9 M A Y 0 2 L c m R I t U / e H W N V e G L q e E U m S 2 4 H + 0 b / 8 B 3 / n t 5 l 4 C H E p o R y J L v J 4 X b 4 G 8 X 2 g d d B B G S y l k h 2 z T J p n t K 6 m m p 5 1 O G W p L J h 4 E e r a 3 D T h y K f J u Q x 6 1 u m k l n 6 H v H E j o W f U T q t y Z w O m j l x / 3 E k 7 N q + O O F i K / t q j B 4 + p v K J 0 X n 8 J Z Y M x M j i R Y k D 6 I V + H K S j o z 2 F c 6 s s v v 6 H O 9 k 5 R V f G / E x K d I g 0 x A R L e 7 B i P w n g b S I L x K a x 9 E W q X x v H x S W p q a p L F O 1 1 p L n m O S E M C e C H h J Y D + H 0 z o B v D v C w + m D b 9 I f Z L J m M 2 5 k C G h x H T O U s r L 7 S I 3 w 0 G O R Q x L f N e w X X x c 9 / 2 0 2 B h g S 3 D R x G y R W N 5 U w X J B W 4 j 1 X Z I M I / P d r + 5 S y f o D O u e 7 A Q Y q S 7 N t t K H Y K 7 s m L g T s E A 9 P j D I 9 F m T K A 2 o Y N i / D w C 0 A d R W S C C T D K k l w g 8 L W P O E W d 4 F x 4 t 6 9 + 5 T h S q d k V g W x 4 c G B A / v k R Q Y y I K A O f v + 7 L 8 U 9 a 4 b T D 9 s T K W O q g Y m Z J R M q D f A s q B b 8 L 3 z e u H V Z M c v n z y + w 4 Q C + k x p v m p V 6 w H 3 U r F 0 M S a g B 3 l k Z 5 P W w y p d M J c V L u 5 X Q U s B 2 K Q 4 J l Z F f Q 5 2 9 S + t y F A v w P x f b 8 Y 8 V m A d 0 o m Z h N Q q N + u L F q 7 K 2 B B o W N h h A n i m f n / 7 F n + o r F V T D 9 A o h Y v k e G J B 9 9 P C R j H 3 B D 9 G e 4 J A J l H A o 9 v I 9 Y T 7 H / r t Y R r m 3 t 0 + 8 Q e A K N c Q k R t 8 K t Q J p + r d / / 0 t 1 w y B c a k w M 4 V X u h 5 F C i k i Q R H A 9 Q j t g I i E W M r m F V G k p / D K q U d 4 c 8 Q Q m V H 3 c E c r m q q b R U f W G + i E I 9 X 3 j W L U n o p S C S 8 / F C 5 e 4 Q c 2 K t I B p H q Z o e L d b J c W 7 A v O 5 1 l Z V i U o H Q k L S o B 4 u X b x C J 0 8 d p 3 H u E 8 I f L z F h T s a V 8 F y o D z M x E p 8 J 5 d E x w n 2 n W y 0 L G D T 4 H q L q S Z 1 D Q m l f P i F V s I R y k 4 1 V v 1 0 7 Y l t r 4 / v A 9 / M a j h H M I U E o 4 q w 0 M o 2 N D F B X e y u 1 c T 8 H f R 3 M f n 3 b + l Y H l e 7 s 7 J a G h V V o 0 e e C R R D S C Z M I F 7 M z 4 U K A 4 y + M H F D X Q C Y A c V F x k f S H 0 p K 4 3 9 a t 8 t G X A p F g 9 g e R H j 9 6 E p J M w I J k Y v A r 0 1 e 3 i P E D k i F I v k n r / F k m X T w i L h e 6 B K F W G n H C I S U t Q 0 z l a M i Y x A i L W A o f y 1 L F X B b I 5 9 K Q s a h r V 6 / L z F 3 T t 4 G H R q R p F b E i K 7 e Q b j z t 1 k d E v W O o F G X l G x p S U z 9 q S 0 M v C w 3 S h 8 J C n u U G h j T B 5 J E f n e + / h i O M y l v a T L y E u J R Q 7 x M K k / p F 2 q C x K H U p R x x t M f Y D K 9 z N G 7 e F c H D j + c u f / 9 Q n A W B 2 X 2 o y Y a 7 U 2 f M 3 6 J M j S o V s 7 n d Q Q 7 e S L J B a k U z 8 w c 0 J b T 4 a M j E 9 1 K 8 m j f y Y N A f + I 9 f I X 8 t 1 8 Q g 7 J m / F 2 8 / 7 h J 5 x Z R U D q T C T 2 B g R s K b e n 3 z + K a 2 p X E O T U / O d W q F + L e T V E S v Q V 7 1 4 / h J 9 9 q P D 3 D 9 T p v y i D K 8 s a I m + 2 u j I a E Q C O 4 I M I N F u I S o k M T + a L D 7 S I N b 5 k r Y E a 5 u J l 5 + 4 7 k M Z S G G u U N i T s q m 4 W H m L Y 3 k u 6 8 6 H 8 A 5 P T U m S 6 e f B g B U u 0 T K A / K 7 A L N 2 1 6 9 Z S u k U K Y Z z t L J P i y x v t M t U j E q x j W F i b P C p Y 6 1 a S f s L g n I r 8 e Z J v C B a H i M s + V L r F e T p e C 2 6 p g B W C w l m 2 M U D b 3 N w q Y 0 t W Q J q 0 t 7 W z x F g 6 C T U 0 N C R z q X B v h A n P H L 3 p x 2 Y D n B 7 s p F f 9 k a e j q P 4 e y W A 4 r I G R I A Q B i 1 D H S O s g x z 5 i S Y d a p 6 3 5 n A 5 q N / E Q 4 l J C r S v w i y j 0 K x B W I r A D / U K A N Q 8 O u 6 M j / n U g o B 7 C U R W 7 1 S / G r y 4 c o E J i P O k P X 3 x F X 3 7 x N f 3 v X 3 9 J r Q + / p D f 3 f 0 c 2 7 y T l O b p 0 g w 6 P r O w s G h m b k n 2 j o o U h h z / 4 h 0 n m B + U x I Q F E i 0 P w N w + i W B y E n N T 4 L K y l B v a V D Q X j o A v A m p d k m e + E / Y D L y k t k A u J S v W j G J y Z k s i L 6 Z O k Z G X T i w w + p b M e f 0 e q d 3 I f b / T n 9 7 M 8 / E X / A c 2 c v i k d E O O C Z v r j R o Y + i w z z C m L T x 5 d T H J j Y B x 6 H a z g 8 d R O u N t w B s D 7 H 6 6 E r D 5 L S N m v v 8 p M J A K b a M + d 1 v v 6 C z 3 5 6 X l W q b X z d z P 0 p 5 V k O K Y E G Y 4 k V s r b M Q M L t 2 3 / 6 9 0 i + b 5 m d I s H t 9 9 Y A B 5 6 l Z h y z g s v / g X l n j o r W 1 T d R C K 7 C C 0 e W m d M o r i 9 z X C g Z T x E 8 S T R j 8 + N J C N E M 2 f z q 4 3 c R D i M 8 N 1 7 g w 8 1 3 e g I X 9 V y o a e x O k 8 w / A 0 o d l m U 9 9 c E I W g s F g a k F R o W + B l l l u x P D N w z J l S w m 8 6 0 F g a a Q 2 O z k T E q i m c E Y W / o c X B + o C w A I w W P 0 I X h S 4 3 r o U w O V X q v + E z 0 c P / G f w x i K Z D G n 4 u 8 J z Q q V V P i c C r g n Z d n 7 g E J d 9 K B Q Y 1 B n E p V m B I + I r s T + l p o 8 o Z 1 X 3 t E e W + M K c K 6 w A i / 1 5 D S A V l m J 7 0 W B g h a P q 6 i p Z A g 0 k w f + p y J m l z J T 5 q j f K v 5 i J v m v v T j X 4 r B G N 1 z 3 g J 0 R w C C a V k l D w I f Q R j I O 6 z i 9 B 4 w 1 x S S j M h V L x L G 0 q X r j j v l J w u d 5 O Z y / e o 5 0 7 t 4 V c I w J z l 2 5 c v + V b v G U p M T d n o 0 n 3 t C y s e f T 4 Y Z + X e I i Z H D 5 g y Y C 6 l 3 W y B o f Z z i Z q a L I Y I l n T K q i 0 S C g h k S E W n H 4 5 5 j y y b H Y d T 4 j L g d 1 J j 5 p L k 5 C g 3 s a 7 V w X u l r c S 4 e D v m r n + Y 0 p N z 6 f m p h a 6 e / e + m M u x x S a m V W A F o e P H j 4 j l b 6 m R n J R I j 5 8 2 0 M b N G 4 Q o 0 Q A W x v 0 H 9 t H E x B S d f T y m c 6 M D q M C 0 8 B H L L 3 l A F k U Y R S p D P H P e f 1 1 2 V p q l x c T P T 1 x K q J 4 h f w V J 4 a X G 5 9 t o q W G 3 O + j M w y H q 7 x + U Q V 6 s 6 H r 4 2 C E a G R q R z d M i T U Z c L D B P K S m 7 g k p L Y j N 2 w K s j u 2 g 1 r S u P f X V c Q x j R R j h G U H m G T B z z O d W P 4 m O Q T A c Q M C d n 6 c b g l h J x a Z Q Y m V Q S y f S j x s f G q C S 5 T / J W O h K S 0 2 V B k 4 z M D O n b Y L Y r l n j G w v 1 w A c I U C Z j S l x J O B 5 c z Y c 0 G n R E D H r 5 N p M 4 Q U / z D A y 9 H Q y C Q R a l 2 R k o F G i L 8 B B L y y X W Y x T 1 L 2 S B U i L b z Q 4 e 4 l F D j b r X 1 J z A 5 M U 5 J 3 K h q K u J v d u Z 3 g e S U N E q u / E A 2 1 X 7 1 q k n W V + / o 7 B I i Y d 0 I S K 2 B w U F 9 9 d I A Z e 2 d G l 8 U U S P N 4 w K U x D F B H a v + k T W f A 4 j j y w O J F J F 8 p E L Q J H O 5 v h t p / a 5 g Q o W g 2 Q 8 c 0 E l G Q U J C u d I z R L W w x W k n 9 L u A M y W T t m 7 f Q V u 2 b K K N G 9 d T 9 b o q W r N 6 F V V W r p H 5 R z 3 d v f p K B Z A N C 6 j U 1 z W I T x 7 M 7 7 E A 5 X v 8 1 F H 6 9 9 / d 8 L 3 I o s X + y l j 7 t 4 Y 8 F u I Y a e Q 7 9 h N I S S S V V k F d o 8 z z o d v P D x n i c m A X A c A g o 8 e N R S Q d A a J 0 J Z r O r e B 2 R Q N h N i r D 9 A 5 s X A D i G N T V 1 V N R S R G l M d k a G h p k u x 2 r S T s a V J e l U 1 J a L n X 3 j 8 m m 0 g t N V b c i G p 8 9 H w y R Q A w m h a 9 / J I T R M R + b f C G V L 1 b X C 8 H 4 2 L S T e A v x O b A r w c Y F O E c e S l E F K p n v D 5 6 H 2 N g Z g D T Z u X u H r O n 3 n 7 / + L f 2 / / / w v G h 8 d k + W h s Q / v 9 u 3 b + C p M X Y 9 e m 4 d X O 3 b g 2 F R G d O H S L d k n 9 3 6 r k 7 q j 8 M k b n o y 2 X g x R F E n 8 R D J 5 f q m k g p J M h k C I 1 f l Z S k r k P l t A W 4 m f E H 2 p f 8 / o H 5 k U R 9 D 0 5 D l p R F N R v j F X C m A g w O q 2 o Q C P h c / / 7 C f 0 p x w + / 9 P P 6 O T p E 1 J G A K R 3 Y W G + N L 5 o 4 O F + 0 3 9 9 c Z E c d o f s 0 J G X 4 a A 7 d + 5 R b d E Q E y v y N P P S r A j / h 4 m j I k M i I 4 k 0 c X S s y G L 6 V n z M 1 x m C K c m E t C J Z Y V H 8 b l 7 N t W C h V x y F 5 r 5 x c i Y 4 f e r d g 7 d L 7 y E Q z 8 A i K F j N N h w w m Q 8 k M s E K D M w G 5 4 X D V 5 c b 6 I P T R 2 S W c G p K C n 3 4 4 U n C d q I t z W / o i 9 / / g Z p e N 4 l D b j h E 0 r 7 x D X x E A j l A D B + Z k O e X X H 4 y I V a S S f I l r Q L S G z Z i c D u w v c R L i F s J B Z g 3 E 0 g l j x u p 9 l Y Q o u 3 D h A L M 7 N g 0 L h r k J Q 0 L e a 3 I z M i Q v b B 2 7 t p B t q R 0 e t w V u H l B M J J p l K b d w d v W C J U k B B B I 6 t R C M D n n P 7 Y G q X / W U i S N I A t e Y s 2 / + G 2 2 c b 0 L P F Y 0 V Z U w J + u P W / E + k O u N d p q N F Z l Z W d T f 5 5 c q K L 9 w k O k h e m J g M L A L y U B 3 G / V 2 N O u c Q O C + f X 1 9 l O G u o 4 Q Q s 4 f x b 5 U R A n X I Z L A E I Q j S I I 8 + 9 u X r c 2 p J M R w r y S S S i v O D 2 0 k 8 h b i W U F g a G P 0 o Y N w T 1 4 / 6 n a C + Z 3 F L D a O h j 4 1 N y C p J l y 5 d l d V l 4 f S K g e F g w O R u l g s L B p Z e x k 6 H S a 4 8 2 d 8 J y z 1 j D A y u U P f u 3 q c / / P 5 r b u R z l L d 6 O z c m b k 1 W g E z 8 H E I a B L 5 O S C M E Q 6 y D J p G S Q o o w k g d p 5 E v 7 C Z W f F 9 / j k d x K U R D x G Z 5 1 j k p D Q M W k L d 3 y C S s e K c n J t K V 2 E + 3 a v V O 2 3 8 F m A 4 8 f P 6 X L l 6 5 Q S 8 s b a u / o E J J h P f O a m m r 5 T K h B 3 R E m k H f O Q e 1 P z s q q s t h F Y 9 o z L b V T u 7 2 W f v z Z x 7 L z u 3 Z s s Q B E C p R K I N b a P G x d y s e a S E I 4 H 7 G s q p 3 p L x k y 8 X m d t 3 e / s m L G a 4 j r 1 z 6 X N 2 G l V M w S 3 V q i 5 k Z Z 3 4 T v U 5 8 q F q B c o K 7 B b Q k N s r i 4 U D Z r + + j j D 2 S a O h x b M a e q r 7 e f 8 g r y Z O 1 y L F J p B R o 7 x r L 6 B s a o b P 1 e W r + + W q Z t w B 0 K c 7 I w Z 8 q U f / t Q o C T 1 q X g g g k 8 y e a k k g 9 V L B x M E B A N Z I J E k t g Z 9 H k F L J h A J C 1 v G e / 8 J i N u B X R P U T g 9 O S n X G 5 0 q h 3 x V S n X N 0 a v 3 i J l j C P a m D p R A 2 v 8 b U d s y v A t B X w n h V Q X 4 + 1 W 7 b S t n Y 5 O 3 m H X G 8 h e + g F V i 7 f P O W j V R S 4 O L G v X D Z e y y n j T R S U s e E O a r M h W R T i 7 9 Y C S d k 4 / s b Q i k S + s m E g A U 0 I a H S X c n z 2 k e 8 h T g e 2 F W h o d 8 t / S g U N p c 8 Z w Z i p U q p f Z W e B e c j L Y T W N 6 2 U n J I i u 8 L D W o c V Z o O B c o M 1 r 2 p d p W y D a l 3 S G Q S 4 c e O W 9 K 3 Q R x o d 7 J V + U y T g c 7 4 + E q e t J C n L 0 j u p S J 4 m k J D N k M m o e R y Y Q L 5 j H 7 F m 6 O i J 3 Q F t I x 5 D X P e h T I D a B 1 I V p i s f t Z W u 6 i W z d M K u H I s F D B K Y 8 Z v B h M H e u g u p S d h g 7 v S H J 2 W w G I B 6 f f H C F c p h 1 f D K 5 e v 0 8 O E j + v R k L T 2 8 / 0 g 2 B g g F h w 0 S R x F J k Q R k U u o c / 6 H D V Z N 8 7 C X 3 t F b / L N L J B P 8 x y K P S 8 i I F u T g G u d T + W P P b R z y F + F Z I N a Z m 5 q R w V 2 e O S M G j Q l Y y s k J M P Y 8 F I E U 4 y 1 0 4 t L a 2 y n 6 / r x q b 6 P i J I 3 T k 6 G E 6 c G g f q 1 k u S k 6 Y p Y p V 5 R R q M z Z g R p Q H J o G F K C C V 3 e a l A 2 u m y K b P N X Z j Z 0 p 1 X q 7 x x Y Z E l l h L K U O q r K z F 7 6 z / f W J Z E K p j H I T i g p 6 F 2 s B v K 6 4 s K 1 a a x K r K f 7 f + I j b O D t 7 s L B w w 1 o f + 0 o t n L 2 n v w c N U s G Y r 1 X c 7 Z c P t 7 K w s a n 3 b J h M b M Y s 4 e B 1 A V M P Z l 4 m K T B a C F K V P 0 / a y K T p U O c X S C 3 k s m b j + O o d t Q h 7 z U p S 6 B H n w O R A H a Y 7 R Z 5 L j G Z C K + 0 8 c T p 4 + q P 9 r f C O u B 3 a t A V 7 n T m c i C 9 X 5 h F p J S E / y U g q r f O + C G Y i M K I C 3 / z 3 u P 9 l Y 8 q x e s 5 o u n L t A L + 9 f p P z E H r L P q X 2 f Z t z T 9 P V X Z 2 j v v j 3 6 U w o 4 d / 2 1 U 7 3 o N J k M U d Y X e i g j S R O F S Y L / 8 7 z D r g i j i a Q I p D 7 r J 5 N J K 3 U P m 1 R D O o F Q 8 K Q K 1 S 7 i L e A x u X j i P / R M J 8 k 8 n / x U j x Q 6 3 m x W r B Q p N e H B 3 C 9 9 s F h w Y 7 c u 8 R U K T 5 s G 6 X / 9 5 z X K r d h K e b m 5 s n b 5 5 3 / y E e 3 d u 4 d f X h 7 q 7 + 8 X f 8 B j J 4 + Q K z 3 N t + s H i P S s w 0 F n W D K N T b H k Y Y I Y M i G 9 p V j t l C 9 B y K N C 9 w h / l m O 5 T o K W T o Z M E p S a Z y Q T z k F a H T + 5 n / 9 z Y H u I 1 2 C 7 W f 9 m 2 b z u i x K n Z E H F e x 3 Z 3 E e A A 6 h y 4 z d r w a 0 E y e U e b K L y l D 7 Z W g Y v k E 2 b N 8 i M Z X G L 8 2 F O D u E g i 2 1 v g j E 6 N i a L u u w / s F f 6 U i g X j B u Z z a P 7 B w b p / M 1 X 9 N M f 7 Q 5 J X o w / Y T U j T G j E Z x H w w p q a t t G V V 4 k o a E 0 k n F M E Q Q y y H K y c F D X P S C 4 Q x D P t p a u N s B j y c V D f C I Q R a T T j 3 0 t 3 d s Y j u x V O s + r q n X X T z / / q U / 1 k 8 Y 9 l R a h 0 x w w 5 P K P 0 o L u A G 4 q T 7 N x Y U N E 2 J p a R U M u d V B i r O V n j l u + D B g j X I E U f P 8 x 3 n e C G f + P G b S o s y J e F / m 1 M M F j 3 R k Z G q K W l l a Y m J 2 n X r h 3 U 1 N Q s 0 + l r a 7 d w 5 z 6 T u k Y d d H C 7 f 7 2 / Y H R 3 9 1 C a K 0 0 s f 6 Y 8 4 a y L P X I V w R R 5 k L a S C e k j V Z N c C X 5 C g S y X G x J k Y N a v 2 i n J g z g l w U P D 4 + o Y m 2 I r U j G h m E z Y + n N d V R n t 2 r N V n m E 5 w H a z Y f k Q C r A N 9 1 P j c B 6 T y U k O m a b A Z N K E Q l j u h A K O V H n E d B 4 K b Y N 2 K s v 2 9 5 F M o 5 Z + y r O X L H 0 G q H L t G h n A f f m i j i q r V L q n p 1 d c k O B B E W m T g T P f n K M P P j o l a d y / c 9 h O T z s S J C 1 B S I T / q / q z h k w g 1 l E m l F U 6 j U 1 5 6 X Y z S y c L m Y R Q R q W D R A K Z t I R C w E z t m W m W T k y o X / z y M 3 m O 5 Q L u j i 6 v n 6 z M V F U x X C H y l k O l c u D a l M o 1 b + / l D F G r Q g B L N g 9 M B B p m 8 X 2 h 1 m G M B u u i n z x 5 T F a b R Z / n 4 K H 9 V F x U J F Y 6 r I d + i 6 V Z J C i i M E E 1 a V 7 1 O u h p O 5 N J D 9 g q o i i y C L F M m s k E g 5 F V M i F 9 R 5 P J / 1 l F L N S Z q T 8 j r R B A L L H m c l 5 B f p a v 3 p f L z 7 I w m 1 s x R K n E p e 2 r A F M p q p J U I 1 g J u N U 8 X 4 q s z p 2 l r W H 2 t w U w / h T u h Q L f v R M n j 9 O X f / h 2 3 n 5 T B i g 7 9 J 8 K i g r E / O u e J n r N h B L j A g L K V 8 p Y E 0 n y U P Y q P r h G L e M s / S O O x 9 1 a J d T n p c 5 0 W l 3 D M X e K V V 1 i t 3 c t t Y R g 0 3 T 6 4 6 P 6 y Z Y P l h 2 h g A 2 l X C n 6 L R a K V C s B I 1 N 2 m v D E J m 0 j S W d s O v D x J x / Q 5 U t X d c 5 8 X L 1 8 T f p a I J f T Y c h j 1 D w r g Q x R V P 7 m I m P d 8 5 + / 0 6 x N 5 b 5 8 D l J f K v a C T B Z r 3 i z X K Y K X p V R 1 d f g + X j w j 7 n 3 5 Q g V v c j J X I i p B 6 d 9 S I W J q 9 V f 0 S s D d N 7 F N + w 8 3 U d C K J F Y N N 2 3 Z S G 9 b 2 2 R Q 1 w r 0 s / Y e U O N N R v W T E M p 5 1 U I c j B 9 l p W h r n V b 5 + k Z V H 0 v G l j R p J C D N + U I g U d t Z z U M 9 c v 1 J H l Q + z t 9 7 c H v I u o / 3 E P f e 5 u H C h r W p 4 o F s T K + q 8 h D r N I f l D n g r w B g Q C f C x w 6 p F R c W F O m d h V K 2 t p K z s T P r 1 / / 0 N X b t 6 g x 4 9 f E K v X z d J 4 4 b D r J V M c B t S J N L 9 I C 2 l l L R S + S C c r + / E x 7 j P 0 3 a b h U z q n K o j X U 8 S 4 0 U I i W Q h E 4 e f / f z H I e t 8 O Y R l M 7 A b H O B X Z r f p y j E V 4 g u m 4 p S x g v 9 w W J 7 A M s e e W X z n 8 H j y + I l 4 l O / c t V P n L I y 3 b 9 u k H / X z X / y F j F V h r K u p q Y X y 8 / N 0 w / c b F W Z Q j j p P i B R 0 j N g h x g h / C C A T n 1 e S S J H I 1 I 8 E E M j U G a c R 4 M e b L L u P z K / z 5 R C W Z R / K Y G M 1 v 0 2 1 2 q c q x x A J F Y n K 5 k p D I 2 B S m b A c w W 1 z Q Y w M j 8 o s 3 a S k h X d e x / f H l j g Y 4 C 0 r K + U c / w q 9 a W l p s o O i E E B L l L 4 x / g z H I p 2 0 R F I D u h x z O Y t 0 4 u B K 1 M T h v J Y + G / W L u g c C I U 8 R S e r C p F F f U m + a Y J p M q M u / / t W f q Y d d p l j W h A J K i 7 E Q p n n T a X J Z g i E Z G g T / 4 U 8 s P 1 L h 3 b c Q Y N 2 L Z t m w F y / q a P u O W p F E C q o s Q K q y s h I a H R 0 T Y i B M u O f o Q S u M C p p I Q g q d F i L 5 0 + g v 3 W u x 0 5 V G B 7 3 p U / t 6 G R K Z W F n w U C f W t P G M g K r n o Q O H d s n z L G c s S 6 O E N e T m J L G e j 0 o y k k p V m k g p H R S x O M h b d v l J q r a h h c n i 8 U w v u N A / y u P S p S t U W l p C i Y l J X A a G D C r g P L w q U l N T q W u Y 6 F x d A l 1 9 h f E j R R g V d F o T x J / m f I 5 H p / z 3 k s D n z Q s t k E y W e t J k g m e E w 2 G j 6 g 2 V I e t 4 O Y V l N 7 A b 6 m f b 5 j x R P + R N x 2 8 9 B F / F m k r l I K Q y j Y G D q D P L g F x t Q w v P b U K f 4 / r 1 m / q I q K H h l a w T g b 4 S 1 k D H 7 u 2 7 d + / k f l a a f q n 4 A y Z v Y r / c p 0 9 f U P O A k x 6 / Z a n E Z a X K R h N G g l H x O C 3 n d T m i X H V e Q P n K s S l / J g / n + T U I R S I h 1 D S c n a f p l 3 / 3 U 0 u N L t + f Z a / y G W z d m M s 6 u H n r q d j 3 V k S l + i p Z p Y 3 F C q q g C k w s E + J M L Z y J Y J T A o O 3 U p F u e u q u r m 9 q Y S J 9 + 9 i N Z T A W S C x t N w 5 P C z E s y J E H Z w L v i 0 J E D L C H s 9 L K u S Z W T P o 9 r p f 8 k x y r f R y o 5 j 7 Q O U r Y m g E Q W M i F t 6 g X H 4 r M H 3 z 0 m F Z P p F 3 / 9 u f o i K w A r h l B O p 5 1 y s 7 j R o M L k 7 a f 9 w 6 R C k a d j V L i k d e X r x i G k 4 v t I i C 8 + M f G J J s M M 8 u J F g G n u 0 9 w 4 M S g L 4 h w 7 f k S + E 3 Z r F 6 k E I k n A 9 0 V D V w H X Z O d k U 3 1 9 I + 3 d v 5 e c W a s k T x F E v 4 T k e q R B I F 1 u v j x c p 9 I i g X S + u r 8 p e 5 0 2 5 Q / H V 0 g o k I n r p 2 Z 9 J a W m x e d e T 4 u B 7 c 7 r t j h r P u + G e w 8 6 u A F y 1 9 D u I H u C U 5 x n 4 e t m n G j R e Y d X t t 2 m Y k z 9 w A Q 7 i W 2 I V Y B C r O L 4 g C t p j g 5 U q k l / g I k h g b D W 3 r p 1 V U q u c j 7 O L R T U C 0 T d w 0 j n Z + 0 O 6 h 6 B 1 Y + J g z z d 1 x Q J 5 f u M f v l o 0 s m x J q Y K R j I p 0 q m X m y Y S A p N I B n E R c 0 j g f t O v / u F n 8 j 1 W C p h Q 7 S u K U M D t u 2 / 5 m z G B m E h q 3 h Q H H 6 m w u D 6 8 0 x E z a S Q d T C i V Z k 6 J X o x f n e J I / v 4 g S L F P 0 d S b C / J S O H z k I D d o o s 7 O T p F K W H B S E Q R X M g G Q k G N / m J p y 0 7 N n z 6 m / b 4 C O H j s k 9 8 F 1 9 9 8 k 0 P A E L l e k 8 R M I h N I k E p L 5 0 0 I Y O V Y q o Z V E i m T G 0 V V L L S u Z W E r Z + R n / 7 p 9 + I d 9 r J c F 2 d w U S C u r N r b u t r N C C R A l C K p A L R F J B k 0 o k F B N F Y p W G 5 A J p D L k k r U m l Y k U o 9 Z c h C d 9 R A H y n U M I L X B c J a N h C E v 5 e 5 V n T V J X n l n l S k K x Y R A W E k s a v L l b p o N D X P 0 B P H j 6 h o 8 c P 0 9 N n L 8 Q j H e N W l + q d Q i p 1 H Q i i Y p B E H S P m P E M e n S f 5 h l S a Q C C O I p U m E Y 5 9 q j f U P B C K + 3 o s y f 7 u H 3 8 e 9 b o X y w k r k l D A 7 C x I 9 U a T i k O A p F J b w I g K C C I Z Q o V Q / Y R U T I R g c g G S V g n z x + Q o B B w s A K 6 B 8 J W g T n K T 9 s U n q z E B E Q 0 f Q V 1 j i I N j f 5 o D f p g k Q 0 N D s l + v 3 W G n 1 a t X y d w o k E l d B 3 L o m I / N 4 K 2 k J d Z k E h I Z Q m k y a Q L 5 Y k 0 k k V g c m 3 E m 1 W d i l X U F k w m w 3 W 1 a m Y Q C e n p G q b 6 x V x F H y I Q A M r H E 0 q Q y 6 p + f T C Z t A h + D G b 5 j 3 F m l B c h T C f l V K Z 2 I A D T 2 A H A D t k J x R e W h c U v M P 6 u y Z 6 g q f 0 Z O y T 0 4 o Y i B o P K E I P q c k j p Y O W q G H 5 e V L S b I t d d O m p 5 R 1 y l r J 6 7 x E 0 m I o 4 8 N q V Q a 5 F F 5 8 8 j E s V j z L G S C S V z N x A W Z Z u n 0 h 0 d p T V W 5 f J e V C C Z U h 6 q p F Y q e n h G q a + h m k k B C G U m F W P e n h E B K a g l h j L Q S 8 p i g 1 U D c U O c J b V S G L x a Y 6 3 z g o 8 A M P 9 D 6 L V B H w g i d M m k 0 d h X L X z 6 o L Z 2 m 3 D R l M M A 5 x O q 6 0 E H U O i Y P l v K q 6 1 L r T H C G V v f 8 J P I R x x x L O p h M S l o J g Z g 4 Z g B Y h i p 0 n j G T K 9 M 4 k 4 n z T n 1 0 j N Z W r Z L v s F K x 4 g k F t L c N 0 K s m S C q l 8 p l Y i A U C + S Q V y K G O k Q 7 u T w m R E A t J 9 D F D H U u S g X y d 9 G c G A t n z S l 1 l o J 3 7 T n L E z V q n d U r i O S r L m q V 1 + d j N Q j I 5 t g Z c F p g H I l x p T F T k U B f 4 0 k I c u c 5 K I O Q z g X x k U k H 1 m x S x F J n 0 M U g U o O a B V M o 0 D j X v 8 N F 9 t H F L D R 5 2 R c N 2 7 z 0 g F N D V N U w v 6 j u 4 s f u l l E g m T S w Q y Z B L y M Q x H 0 j a G h R h r G n c n f / I r 4 p 1 y g 9 1 U W i g c W v 4 U j q P m 7 Q v U 6 V 1 P s e 7 V n n I l Q g i q G O 5 g m M V V B 5 C f Z e d h i a J J t z K J O 6 / R q d B E n 0 s h N H 5 I I n p V w l p 5 D w I w + c 5 x p i T X 8 2 D M U I R S q Q U B 9 N 3 4 o v p 9 E d H W D I t z w m D s c J 2 r / n 9 I B Q A L + p L l 1 8 K k R S Z t P o n x 3 7 1 D 3 0 o v 7 E C p F E x i C H H Q h y k c V e V J y k d I 0 / / q n R U 4 M a r I v N H J 3 V a x z j G j y v J y x J q R h b G b B 2 w 0 1 s O 2 A V D k Q P X q t g f l H O w S S u y G C m F Y 0 U k I 4 2 E S I j l W F n 3 Q B g c i 2 Q C o R C w 7 r w Z f 9 I k U m R S m x 3 8 / T / / F S U k L G 4 n x u U I J l S n r q n 3 A y D V x Y v P L N Y / T S 4 d / M T S Z J L Y E A s s U T F + A t O 4 u 6 Q k 3 0 A + E x X Q w H U S Q O N W C f 2 r T w o h J M E x E u r Y n 9 b 5 O l Z B k 8 W S 5 j + a O D o v m E T W t C a P I p M m E m J R 8 y x k g g G C Y x g i s G b g 3 / 7 j L 8 R b 4 3 3 C e 0 c o g 7 N n H 3 L z M 5 I q i F A 6 N k Q y B g v O l N g E I Z C k c U e c D y S U 7 6 9 K R I b U B D d w O W C g 4 S N C j v y q W F J C C p V n C B K Q t g T / s Z V A V u m k 8 o x k U i Q y h N I E w r E h E 4 d g N c 8 Y I q D u w b f w v / 3 L X 8 u z v 2 + w 3 X 9 P C Q W c v / B I T M e m X + U n E 8 i l C a X J Z E i F P P 7 D H E E a Z F E x f h R x c K x i + W t J R w N u 2 v i j g Y a u Y v W L P / J X x z r f l + a / O l j T f i J Z 0 4 o 4 S A c T S W I + N p J I J J M v z Q Q y U k m T S M X K L I 6 N 2 / 7 m V 3 + O J 3 w v Y b v f 8 v 4 S C n j x 4 g 2 1 t K i x q m D V T w g G F 6 Y w Y 1 S K P D q N G M S R X x X r l I J c H w X Q 2 H U S a Y m E L P 5 Y U u a c k A P 5 O G t J B w R F H A m G P J a 0 I Z S M V 4 E 4 J k 8 k E t I g k C K Y I p N S 9 S Q N Q n G A G 9 f 2 n V t p 3 8 E d 8 l z v K 5 h Q X a p m 3 m O g c X 3 1 F R a B 9 J N K X J W 0 h P J J K 5 D G m j Z E Q h A S I Y 0 7 4 o 8 1 r S K d Y v h T f n B j 1 i m V 0 M f 8 b C o y Z z k f a f k 1 a R 3 r 4 + D A L J F Y E Q d 5 O h a y K D J Z 0 0 o y 6 d g E L Z F E 7 R M y g U h q Z w y 4 P k H F k / J 4 z / F H Q l l w / d o T G h g c F 1 L 5 i C V S C s T i N A i j j x V 5 / M S S x o Q Y N 5 I Y x 3 J g I v M n A o Q p + A 2 R Z h J I U h O F j x D 5 0 / 6 A E z 7 i I F j I 5 C M W i K L P g T T m n F / N M 5 L J S i S / Z I J U K i s v o U 8 / / x B P 9 U c Q 0 f 8 H C d f R N G 7 2 L 2 4 A A A A A S U V O R K 5 C Y I I = < / I m a g e > < / T o u r > < / T o u r s > < / V i s u a l i z a t i o n > 
</file>

<file path=customXml/item2.xml>��< ? x m l   v e r s i o n = " 1 . 0 "   e n c o d i n g = " u t f - 1 6 " ? > < T o u r   x m l n s : x s d = " h t t p : / / w w w . w 3 . o r g / 2 0 0 1 / X M L S c h e m a "   x m l n s : x s i = " h t t p : / / w w w . w 3 . o r g / 2 0 0 1 / X M L S c h e m a - i n s t a n c e "   N a m e = " T o u r   1 "   D e s c r i p t i o n = " H i e r   k o m t   e e n   o m s c h r i j v i n g   v a n   d e   t o u r "   x m l n s = " h t t p : / / m i c r o s o f t . d a t a . v i s u a l i z a t i o n . e n g i n e . t o u r s / 1 . 0 " > < S c e n e s > < S c e n e   C u s t o m M a p G u i d = " 0 0 0 0 0 0 0 0 - 0 0 0 0 - 0 0 0 0 - 0 0 0 0 - 0 0 0 0 0 0 0 0 0 0 0 0 "   C u s t o m M a p I d = " 0 0 0 0 0 0 0 0 - 0 0 0 0 - 0 0 0 0 - 0 0 0 0 - 0 0 0 0 0 0 0 0 0 0 0 0 "   S c e n e I d = " 4 9 5 7 9 d e c - 1 b b b - 4 c 8 7 - 8 7 8 b - b 7 9 9 5 d 6 f c b 3 2 " > < T r a n s i t i o n > M o v e T o < / T r a n s i t i o n > < E f f e c t > S t a t i o n < / E f f e c t > < T h e m e > B i n g R o a d < / T h e m e > < T h e m e W i t h L a b e l > f a l s e < / T h e m e W i t h L a b e l > < F l a t M o d e E n a b l e d > f a l s e < / F l a t M o d e E n a b l e d > < D u r a t i o n > 1 0 0 0 0 0 0 0 0 < / D u r a t i o n > < T r a n s i t i o n D u r a t i o n > 3 0 0 0 0 0 0 0 < / T r a n s i t i o n D u r a t i o n > < S p e e d > 0 . 5 < / S p e e d > < F r a m e > < C a m e r a > < L a t i t u d e > 0 < / L a t i t u d e > < L o n g i t u d e > 1 4 . 9 9 9 9 9 9 9 9 9 9 9 9 9 9 8 < / L o n g i t u d e > < R o t a t i o n > 0 < / R o t a t i o n > < P i v o t A n g l e > - 0 . 0 0 8 3 6 4 3 3 9 3 0 6 3 4 5 7 2 5 < / P i v o t A n g l e > < D i s t a n c e > 1 . 8 < / D i s t a n c e > < / C a m e r a > < I m a g e > i V B O R w 0 K G g o A A A A N S U h E U g A A A N Q A A A B 1 C A Y A A A A 2 n s 9 T A A A A A X N S R 0 I A r s 4 c 6 Q A A A A R n Q U 1 B A A C x j w v 8 Y Q U A A A A J c E h Z c w A A A 2 A A A A N g A b T C 1 p 0 A A D 3 + S U R B V H h e 7 X 1 3 f 2 P J d e U F Q D C C O c f u Z r P J z u y c c 5 i g 0 Y w 8 t m V Z s q 2 f b K / T 7 n 4 I f 5 T 9 x / b u y i t Z G k 3 q n H O O D N 0 k m 8 2 c M w m Q B P e e W 1 X A A w g Q A J s z A 7 J 1 y G L V q / f w + F B V 5 9 1 b t 2 5 V 2 b 6 8 f m + O / o h 5 c B X t p M n J O Z q Z m S G v 1 y t h b k 4 V l Y k B k 7 b b i N K T v Z S c Q J T o m K N c l 5 d s c z P U 0 9 Z A z o Q E 4 t M 0 P j F B D o e D 2 m g L 2 R 1 8 o Q U O v u B Q l Z s u N y b J c X r y H O 1 f 4 5 H 0 r J e o d 8 x B T 9 r V Z / A / 7 T O j t G / N N D 1 5 8 p S y s r J o c n y S d u 7 e T j Y b / p O 6 B s 9 8 v i F V j q 0 w 1 1 h R W z b N D 9 h O L p e L X O k Z N D 0 9 T Q n 8 3 O P u O Z r 2 2 i k t 2 U l J j h l K S U m h O Z u T v r n 5 S H / y j 7 D i j 4 Q K Q l r u G v J 4 c 7 h B z d D s 7 K y v Y Q K h i J S U M E d H 1 6 m G L + D 8 c A V 6 h c k y N a M P g l C W N U v V h T N 0 o V 4 R y o r C D C / V l n K D Z 3 j 5 5 j e b E 7 m h 2 + i D D W 5 q b H z F x J + i 0 t J i R a x p B z 1 v 8 1 C 6 + z W V V 5 R T Y o q L 6 r q d 1 D 1 i l 8 8 D C Q 6 i 7 F Q v 9 Y / b + X G t 5 J q j t a 5 u J u s w F R U W U D K T Z 5 b J d O l V k p A Q 4 V T N F C U m J l K C 0 0 k d f W P 0 q K F Z f / a P A P 5 I K A t S C 3 b S 1 J R X i G T I Z I K B N Q 1 s L + i i x A Q 7 9 f b 2 0 d q 1 l T o 3 E O e Y J O C k C A b + e K g C P 1 L l o T c D D g n h c J o J d P 1 1 I k 1 4 F A n c U x N U m 9 d N F e U l c n y l M Z E J 6 y f I Y b 5 n s n O O 3 J y X z M Q P B x D r e a d T r j M 4 s W 6 c W t + 8 Z a k 6 z v c v o 7 v d h Z x r o 2 P r Z i g 5 k W j a o 1 4 i k G b f 3 n n O 3 y / 8 / d 8 n M K H u v / c l k e T K I 6 + z w i e V j H q 3 E J G A 1 M Q 5 O l j p p p c v 6 m j D x v U 6 N x B n X s 6 X O N E C 0 s 8 0 c q i U e 1 d 7 R D o F Y x u r a w X p X h p j q Q V J 9 L p P q Y Z 4 P q i N D r 9 w i g h I o R k m P 7 8 j a H R 0 V E g F Q F U d T t l C I 1 M 2 2 l T i p f J s L / X 0 9 N L r 0 Q I 6 v i m J X r 7 p o 5 b O H r n 2 f Y b t y x v v N 6 H S i 3 b Q + L j X 1 1 c y R D I E C k U k w G G b o x M 1 b n r 9 u p k l 0 x q d G 4 i b T Y k 0 y o 0 8 W o A 0 1 h d 9 J v f J a s t Z I j C x I h E T 6 h 8 Q f B 1 I d W i t R S W N E q a f h T L p 7 x u g s f E x K m d J 5 S U 7 X X 6 V I u c 2 Z b T Q L J d b e u E 6 y k 3 j 5 0 x O p a 9 v P Z V z 7 y t s X 7 3 H h E r K 3 U F u t 1 L v 0 H C C + 0 q h y G T y S j K 9 V J 0 3 Q d 3 d 3 d L Q r B i Y s N O 9 N 0 5 9 p I A 3 / o a i a c p I m a N E 1 u r s T E g j O b 7 5 + g y d / u A U S w E 7 3 W l x 0 t B k D C L F A n A g F P 9 B y L L s W a r I m Z X n A G l B 3 u h g o 7 o u G y W M v a K W 5 j e 0 a / c O y s 7 O o r N 1 y X K P U + v d 1 N H R S V P c j 0 O f L Y l J d e V x I / + P E A / y H u C 9 J J T d 4 S R H x h Y m 0 7 S P S C B K N E Q y g M r T 1 D V F u y q d Y t F 7 8 N Z J o 1 N 2 s c g Z r M 6 d o e q C W X 0 U H u f O X q B T p 0 9 I G p 8 / H 8 I w E Q v K m T y d w 3 Z W 3 c K z B m c 2 l U x T U Y Z X 1 E g Y K f I S B q i z r Y X y 8 n M p J y e H X z R e S k x 0 i r Q a H 5 + g r K x M m u G X z 9 D g I D 3 s L S W b 3 U 5 O f j m c q P H I N Q h Q D a e m 3 P S o q Z v G m G T v G 5 h Q D 9 4 r Q u W V 1 9 D g S K q Y h U M Z H q I h k x W w v q F D b 2 O J g 3 5 M Q 0 s 3 / W R f b t Q S o J n f + h k Z 6 Z S b m y P G h m u v 5 / e R v i v g E V P d z Z S Y V U G D k w 5 a n d Z N a 0 v T h R Q G o 6 N j V F / X Q N t 3 1 N K t m 3 f o 4 K H 9 Q h w A 6 q V J f 7 j R T 6 q + v n 6 W v g 6 a t C V T / Z s O O f + + w C 6 l + p 6 E 1 N x K G h h O I Y / H 4 y O T V T o F E y d U n h U 5 a V 4 x a a M v d b z a Q 5 u K Z y j H / S J q M q H f 1 v K m j V 6 N w I K m + j u 7 K q Z p Z P D 7 6 d z j m 4 0 n r R E y A U 0 j e U J w K 9 L T X a K + g W Q g E 0 z 0 Y + P j c g 7 9 t m 1 l H i m j s y 8 T q a X l D X V 2 d l F e X i 6 l u V K p J D e d C l w J I e t i p Y b F K e v L E K 6 C T T T p S R f J Z N Q 8 B C A U a R Y i E r C 9 f F o a f z B G R 0 Z 1 K j I w c L p r Z y 2 V O l t 0 D p H T O 0 K 1 e T 1 0 m v s m C C A r r H g L o Y J V v O P V b j q 2 z k 1 r 8 8 I M d E U B q H B 1 L x u k j A w g o c Y 5 G K S k J F M C k 2 t c k y q f 1 V 0 Q a / 8 a N y W x p C s o y K f + / g F y O l l q z 8 3 Q t o 1 V t C b r 3 V T Y 5 Q R 5 m a 7 0 k J J d R e M T C R G 9 H g A c L 0 Q m N G 4 0 I D Q k K y D x 0 J B y 8 n L I Y 2 m Q k Q A J k J G R Q Q P 9 g 3 T z x m 2 5 z 7 r q d a w 6 8 b N z g B E B q u T e V Z 6 w k m 9 9 0 Y z 0 Z R J Z G K z N n 5 X n g 7 E g Z a a N v 1 D g c y 6 E 5 I R p 6 u v v l / T Y 2 B i d O X N e n u f 4 y a O S Z 5 C U l E S D g 0 M B 5 Q T p i u c E 0 N f C u a H h Y b E C 5 u d l 0 d q C 9 J B 1 s 9 I C V 1 e o 7 J U T k p l M U 9 N p v j 5 T J D I t B D R S 0 2 i s e P j w s T T A n J x s O n B g H y X y 2 z k W p K a m U H t H B 4 3 y P d A Y Q y E z d U 7 + P 8 g C q V W p J Z H u w s w D y D f b 9 5 J O b / D I Z 0 7 y Z 6 r y Z 3 y W x Y 1 F 0 z J G V Z z p N 5 q M j I z R 6 j W r y M 6 S y u P 2 0 O H D B + n m 9 V s i p Y J R U l J M 7 e 0 d Y c s Q c b r L R Q M D A + L O 5 J 2 a o I r c N D 4 T W D 8 r L d i + v v l w 4 V a 0 j J F e u I l G x x 0 + N Q + V b K 1 w K 3 C M R h h u w B 8 N M t Q A K a Q S A K P C Y u H m x v u q 8 T V t 2 r x B 5 y w N b j A Z 9 h / Y K 4 a C a A D z d 3 J y M h M 8 V V 4 + I y M j V F x c J O e a m 1 s o M z N T X h p W P H / + k j Z t 2 j D v f 5 h j x E + f P m d B O U e l Z S X k S H D S k 1 Z V Z i s R K 9 Y o 4 c q v p D G L m h e J T M B C 3 j P B Z B o Y G K T H j 5 5 I A 3 s X M g F J S Y n U 3 d U t z 7 m U q N 2 2 V S x u k T C j h R S k T l 1 d P Z f Z t B A L a l 0 X P x e w Z s 1 q + a 4 g B 8 r U A G T q 6 e 0 N W 6 a I c U 3 t t i 1 U W F h A e b n Z V J C 6 c h W j E O / c 5 Q + 7 I 5 H G p / w G C F S q t Y K t C D 4 O h Z p C 1 Y D g i n P z 5 m 1 q e d M q x 2 i w 0 b 7 9 I y G H G x p U r a V E c n I S 9 U d B K D j L X q h X 5 v p N W 7 f T g w e P 6 e r V 6 0 K i o i J l g T T Y s m W T E O r t 2 3 a d w 3 2 8 / H y 6 f / 9 B 2 L J F G b W 1 t f v q Y k N V B a U l B X r b r x S s T K N E 2 s Y A a 5 6 p 2 H A V H g 6 4 1 y l W 9 V b l z N K t W 3 c p L c 1 F + / f v p d W r K u a p P u + K v r 6 l V 4 N g 6 m 5 k V T I a Y H D 2 Y k M S O R O T 6 f C R g 3 T s 2 G G x 6 I U C p F d 5 e S n d 5 j K B a o h y H B + b o F t P 2 m l 4 E q X m h y l j S L / + / n 4 5 B s H K M p w s 9 b n P w e d W U l h x s j c h a x t 5 P I s n k 1 H t 4 D k A 7 2 4 I D T S E 3 b t 3 c B r / Y + m B N 7 5 7 6 r v x K o h F g s L 0 j o H l s y 9 Z s o 1 F / t z e f b v l 2 Q d Z / U 1 J T a G M 3 F K 6 1 e y k p 3 r e l o E p a 0 w v 6 e v t k z Q k 3 5 5 1 8 J L 3 1 9 1 K C C u q D 5 W c V 8 s d / O j 7 T A D a W 1 r i H K U 4 V R 4 m B 2 5 M b 6 a t R W M + U j 5 5 / I y 6 u 3 v m 3 W e p 0 N 8 / S J u 3 b t Z H S 4 u K i r K Y n h u k A u 6 / T Z w n b U I B J v Q c 7 k P u 3 r 2 T C p L 6 a H J 8 m D q G 7 T Q 0 q S / Q M M + Q k Z k h Z Q p 0 d n b S t l X c / 7 T U 4 X I P K 6 Y P l V N e S 5 O T a i 5 T L J I J h + M e G 0 1 O K / U D c 4 j K y k p k E h 3 u M 8 W S A 8 e p a a l 0 / t w l m p i Y U B 9 c Q h Q W 5 l P T 6 6 Z 5 z 7 Y U y C / I F + + G a I H x L P g C A r d b E m k 6 s i u i D 3 l 5 e f S T X c l S j r e b E 8 k d N B y H 7 w c 1 9 M 7 t e + K l A e m G f l 5 1 v v J e X w m w f X v 7 0 d L X 4 g 8 B 1 1 Z R 9 Y x O b 4 I V C z V Y F 0 u p A 3 q a w / 1 7 D y k z K 4 N y c 3 P J 6 U y Q c R R g Y m K S 6 u v r 5 R i T C Z f S i D A 0 N E R N T c 0 0 P D R K + / b v l q n m S w F Y I / m L i x S J B d Z p I F B 9 Q Z J Y c K 4 u S a y m G Z j K X x n I L K i h x o J Y s 7 6 a Z q Z n 6 O 6 r L n 1 2 e Y M J 9 X j Z E 8 q R u Z U l S e D A b S x k A j D 4 C f T 1 9 c m b N h R e v K i j N Z W r Z d A T j q L 7 D + w R L 4 e l B D y 1 L 1 + 8 Q r v 3 7 q L 0 9 H Q h N A D P b z x b G k t K Q / B o M D Y 2 T i P D w 1 R S q m b 1 x g J D K q j E B x c x p 8 p 8 H m r 1 6 f U e 6 h m z U 6 E e G A e p 3 G 6 3 q I y Q V C B + Y 5 + q g + U M 2 7 d 3 l j e h M o q 3 8 t t u V i o F Z D L 6 u Z V A k c h U l T / r 8 z y 4 d u U 6 H T p y U N J W w J 1 o Y n x c O t Y A y A t n U H g R Y J w F v m v v g p m Z W R k 8 h Y p Z U 7 N O p C 3 U S w z 4 Y l w I g 6 3 r N 6 w X K X n 3 z l 0 m 8 z 6 Z l x T J 6 I B y w Y z i L Y v o o 2 E 6 f n 2 3 3 8 A A T 4 1 Y 7 D J t Q w 6 Z R d y q p / X j W V 1 J s 3 S g c i a A U C h L P O f w 0 D A 1 D s R O 3 H j C s u 9 D j Y z M B U g m I B K B r K g u m P G R C X N 9 V r M E C g V Y 4 a y k Q V 8 A a t + 6 d V V 0 5 f I 1 6 m X p s R j g 2 e H h / f z 5 c 6 q o K J d x H v T f X K 4 0 c T T d w 5 J q 7 7 6 9 3 O f g x i h 5 e f T J j z 8 W d f P s m Q v i 3 W 1 e I q E A B 1 w Q H + Q E W S E B 0 Z A R 4 H W P a f / h P m 8 f C / Q 8 h x o X C 7 D w j L v n m T 5 S c I y 3 U E N P g t S R z W Y X T x N 8 F x A M q 0 I t d z j + 5 h / + 5 V 9 1 e t k h g V W 9 Y K t e M J k W I h d e 7 j u 1 x / j A 4 K C M X a E R h w I G J r O z s w P m C g G Y g F d Z u Y b G W b W 6 e e M O l Z W X z r s m H G A 5 R H 9 t P f c j y s r K u P H P / 5 x q b K x u P q + n y r V r J A 1 g L G h t F f p x N n p w / 6 E Q 0 + V K D 9 m v e / H 8 J d + / X K 7 B d 4 T 0 A 5 l G R k b F 1 + 5 t a x v 3 D R v o 4 f 1 H 1 N r 6 l s Z Y 6 k 5 O T t I E h z X Z 0 9 T S z 2 X t V H O f O o Y d M i 4 X L Y o K 8 6 j 5 6 S W q r q q g g X E 7 V W Y O U c N A N j X 1 O + n t U C I V p 4 2 J 9 E U 9 g f A V + Z n U P b J 8 J y b a z t x 5 E v 3 r P I 6 Q n F l K 4 5 6 s g A F c w E q g h c g E m H 4 T c P b M e T r 9 w U l 9 N B / P n r 6 g D R t r F i Q L p M C V y 9 f l P p j O H g 5 4 Z v T B N r M 0 g t o W D e C I m p a W F t Z 5 F p a 8 x 4 + e k i s 9 l a q r 1 4 m U M / j 2 m 7 P 0 w Y e n h B D R A m U H N Q y q q J u l 2 v X W D B n 0 x S 0 w r S R W o P + 5 c e N 6 u R d u c r U 5 Q y x 9 e C b 8 r / J s 1 h S y J 0 R i 9 o 1 O U e f w 8 u x P L d t x K L c 3 R y r c S C c g F j K h U e C N j X k 9 m L I A L + u F M D I y H F H y 4 E 2 7 Y + c 2 + v I P X 4 m j K S R B M O B w e p V V R D i t R k s m A B b H + / c e 6 K P 5 g F c D r I M g E / p d D x 4 8 E r U O U 9 d h 2 M B 3 j Q V o 6 F B x c d + s 7 E w 6 X K N e E C j W g Q l U Q m z Y s K G G 2 r l M H j 1 5 K p 7 5 s B x C 0 q G e Q N K 3 g w 6 6 2 Z w s x 9 m p r F p b 6 n o 5 B d u Z u 8 t P Q q U V b K H h Y a W + o A J i l U 6 j A + 1 U O N d A M N m C B C m s P k U y g X / 9 1 b f 0 8 Y 8 + 1 E c L A 8 + D h n z h w m X 6 y U 8 + E e L D e A H H 0 6 L C Q r E U x o r h 4 R H 5 v p g N G w 3 w P 1 + 9 a h J V d P O W j d L 5 f 1 d Y T e n H a 9 z k X G Q P / O 3 b N u k v A p c b E 2 l 2 z i Y O u t 7 Z G c p 2 P 6 d E 2 6 S o w K 8 G o 5 9 X F i 9 Y Z J H 8 s O A X n L x x Q R p D n G j J B N g S U u j Q o Q O U n 5 d H a U y o S G Q C M M U i W u B + M G 9 n Z W b Q p Y u X 6 T 7 3 c S D d 9 u z Z t S g y A Z A 2 0 f b N A B g j s L w Z P N m X g k w A X s I G F + u T 6 E n 7 4 i y b 8 O t D H w 7 A G J X x d o d U 7 E + o o a p 1 6 y L W Y b y C W 1 K Q z I r z k J K 7 O U D V M y E W u D J y Q q 7 e G g 6 4 P 2 b W x g K Q 6 u i x w y w d N l P l m t W y E E s s h A g G v n O s w D P I w O 4 S Y V N J 4 D N 0 j d h p c C L 2 d z L K A R I c w H J q B p K y Y e n n Z O 6 v J V J V D v q B o d t B v I Z l 5 2 0 + M W k L 6 D c F I x p y Y f Q e 9 4 o F x a X F O h U b o K Y 5 E 9 9 t j A q Y n J i I + c U B Q s F x d a l Q k j l L R 9 e 5 a W z Y 7 x l / N 2 j 9 w V D A c y P g p T A 8 P E z P n r 2 U G H m 3 m q y r P K l V k / C D N d W n J i e l n p Z T W F Z G i c S s t a L q v Y t 0 A l x J 4 c d t Q g G W r k n 9 R o 0 V 9 X W N r H K F n g Y R L f C d O 7 t 6 R H 2 L B W i c s R o j F g J e D p 1 t r V T u q N c 5 C s 8 6 w s 9 t 6 h 8 Y k H U H 7 9 1 7 K H 1 I D B X U 1 F T R q l U V c t 7 s M A L g e X W C r j P R u i b S q S S d p X p Q O 4 j n s K z 6 U J 6 Z F F / f K R S i J V d N Y W y N b G 7 O S 0 X F s U s o P A + 8 H M L N K 4 o G I P O F 8 5 d p 0 6 a N Y j a P F a x B L R n e t L w R 1 X f X r u 3 i j m S A s a n n n Q k y F P B f v / k 9 f f G 7 L 8 X w A A v q v d v 3 Z R F P T H / Z v H k T F R Q U S P / O 4 I 5 F w o l 0 0 g G k e j u U Q H b v 8 j J M L J s + l D M 1 j 9 + Q 7 y 6 d 8 J m p y V F q b H g l F R 4 O 1 v + B C p 5 m Y k Q D X I 8 3 O Q Z G 0 a h 2 7 t q h z 8 Q O 3 O v l y z r a u X M 7 Z W e H H n 8 K B z i f f v P 1 W U p O S p E y W w p g T y s s K I P y C P b t a x 9 y i G f 6 T z 7 / l D 7 9 y S d i e E D 5 w u Q u B N H A O N q T x 2 r 9 8 5 E p u 2 w + A J i y B p F Q 3 4 Z Y 4 9 N O c g n n / G 0 h n o P t 3 L 1 n s b f K H w K u T d x I / Q t U + i p A w 6 T R K V x o b Y j J 5 n N 0 7 F C t m M o f c 8 V u 3 1 4 r f Q 2 Y t T E Y 2 9 P b R 6 8 b m + T / i L r E l Z q Z k S 7 E C J Y 0 6 B N g q S z 4 o I F A f b 3 9 0 n g z M j P F C I F x p v z 8 0 I 6 2 0 Q C L 9 M t 2 M t r E H C 1 Q F g 3 1 j V R c U i Q O t t Y G / S 6 4 c e O W W C q N h M H y 0 3 1 j f h G 4 r W S c C j L D q 3 8 G G L y 9 0 5 J A k 7 P K I x 3 A M 0 I T g G V i d n a G Z q Z R 1 9 M 0 O + O h f R X j 1 D 6 x e I P O 9 w n b u f v L g 1 A z S R v F 1 I o G a 6 S U g T U d C V b v C K w R c f f O f a 5 M u 4 z z 7 N i 5 l d J c L s r N i T z V A X 2 B p 0 + e 0 9 7 9 u 6 U x v G l + I 1 v a g J y h g G e M p W F j v 6 X / + P X X t G 7 P j 2 n P m t g k D D w 2 8 L 1 g Z V x K Q O J 9 + N E p u n 3 7 H m 3 Z s l G I 9 a A j n U a 1 l M E s 5 9 2 r I k t y k B B k D A T u o V 6 S G I + C q j w r w U N 7 K 8 a o Q 6 9 u G + 9 w / P K f / n v c + / I l 5 W y i q a l A B 9 j F A E u B W b 2 l M T 6 T 4 E y g V a s r a G v t F v E k T 4 0 w D w n q 3 M U L l y m T V Z c d O 2 o p K T F R 3 H x u 3 7 x L h U U F A V I M z 4 o 1 + x 4 + e C T 7 L M H r u 6 w c P n v q L W 4 I h q k Z u K / H 4 x Y X I n z P t r Y 2 e l n H k t K 1 m l Y X J M n E v 2 i B / 4 W d M D B o v Z Q Y 4 R f Q s 6 f P Z f o 6 + n a D g 4 M 0 1 v W S d t T k U N t w E k 1 N 2 6 g y f 1 a o E Q 6 v e x 3 0 o m u + Z d D 6 G a Y V l x 3 q W o X B C a K S l A m a o s g W x R 8 a L K G e x 7 2 E 8 q Z s l I F V q G B o b I C V W N G S b E f 5 N G U k u U V F g 8 c B G j T m G E E t i j T 4 i f / x / N k L c R z d t m O b z D S 1 A o 6 m 8 A f 8 j P s P x i s d Y 0 B Q B d G f w P / C N V e v X O P v w K o p C 7 I s V g 2 z c 3 P o 9 a t m I a M r L V U 6 / f h c M X / G m Z p D / / Z v v 6 a C D S e p r L S E D q y N / P b H c 1 6 / d p P g B f I u 6 m Y o 3 L v 3 g G r 5 x Y M X g n k Z o D 7 g X J v i S q d H v U W U 5 / J K O Q c D m 7 i F 2 u 7 U A C v k 4 h r + A n x P T O c w E m p a 1 L + t e T 0 0 4 n y 3 5 d q + D 8 Q 9 o Z w p 2 T Q + U y D 9 F W v / y S B a M g H p 4 w 8 p w T t J D Q 2 N l M 3 S 6 E c / / k g a + d M n z 2 Q h / I U w P D I i 3 t D o e 4 W a V I i G h c 3 X n j 1 9 R g c O q h 0 q 4 K x 6 7 P g R 8 a U z w P c w A 7 z w 9 c M 9 0 d E P N 5 / q 3 3 9 z i V a x h M L u F 9 F K H E y J g N 8 f H G K X C j B y Y J W j j z 4 + r X M C A W / 8 3 L w 8 c X o 1 a j V 2 E 8 F 8 q l 5 L P y s c X E l z M n d K 6 t d H K N Q 5 C O W m 2 o I B m q B k m r b H N n T w f c O O F 0 0 8 B 0 o q l s Y a C 3 F C Y Y 7 v k Z Y 4 K 6 v z r G J 1 C H e 7 e u U 6 P X / + Q q Q I L F J o i N e v 3 1 Q f s A D n H 9 x 7 K K 5 K 4 W b o o u + 0 b t 1 a I R O s W D d Y S m z Y U B 1 A J s C 8 3 R E w r p S Z m R G W T M B n H + y W K R U N D a 9 0 T m R g 4 U 3 M 6 o W 7 0 m I A o w H U x o s X r s g x y h 7 O t s d P H J H j U C h l C f q I r x l + + T t 6 9 D a B L j U k y g p K 0 Z A J 8 F j 2 9 1 V A A 9 B J T j z p S q N U c g e 0 j X g M 0 X 3 b H x B w + Z K 3 l g 6 L x e T E G E 1 z p W E 2 7 J 5 9 u 2 U e 0 4 G D + 2 S 1 H k g M D M C i T z D A p D J q J Y D / + e 0 3 5 2 j H z u 0 + g w P O Q 7 J g 9 i w k j l L t p u i L 3 3 9 J n R 2 d d P T Y E Z n 1 + 2 6 v A D j E D t M N J v i J k 8 f C z t M K B T w f V D 6 s 8 r o Y o N + C + V E Y K s D 3 h 2 Z Q W F A Q U S 2 G k e f T T 0 5 S z 5 i D P L P c u i L A O v 3 L Y x k a N O X G r x 3 5 C 8 x 4 H Z z y 1 0 u 8 I r 4 J Z b N z g w 1 v 0 Y u F Y K m u D O p P 2 c k d Z 7 U s G C Q J i A S J c f z E U Z l 2 U V W 1 V g Y e Y f E D Q B Y s 4 L 9 9 Z 6 1 I E g A L i 5 z 5 9 h z V 1 T V w g 3 1 G l y 9 d p T N M u P / z H 7 + m k 6 d O 0 L b t t U J W q H H o q y 0 W a M S X L l 6 l I 0 c P S 3 / t 9 a u m A K K H A 4 w b v / v t H 2 T i Y E d 7 l 5 A e w G c x N G C + W z C s Z Y l 1 K F A 2 I D H 6 r j 0 9 f b 7 v H w 6 Q u L g e / Z 3 B z k a d G x o Z y e p 7 G K d Y K 4 J p q C i l c k f c T n 5 O S c Y t b O c f v I j b R 0 z K 2 c A N A C b U Q G d Y g 1 g I Z T D c 2 0 o / P R K 4 v L A V G F f q 7 e m V h v S m p V U a N r b I 3 L d v j 6 R x L p H f 1 G Y a B Z 7 h 8 c M n / D a f E c O C G T M C A X L 5 m n A T A i M B 6 m c P 1 g L k 9 O v G 1 0 J 8 T E g s r w j c z 9 c K P M u N 6 7 e p u q Z K D B K Q m h f O X 6 I f f f I h k 6 u D e n v 7 Z S 0 8 9 O u S k z F A q z 4 H S X j 1 y g 1 a s 2 a V z A L G J M l j x w / L / a A W Y 9 r 8 y V P H K N J K T H j Z Y H b w X i 6 r 6 6 1 q Z V 2 n A 0 Y G t e U O d i 4 x 1 k r r V J B g Y B z K K / 0 n D j B K z H g 4 T J O X + 1 K F a R O U W b C 0 q / Y u J W z n H 8 Y v o S h 1 A z c K F O i M V K 4 J B t Z 0 L K j K m 6 X K / B n x M 7 t 4 7 h L V b t 8 q a 0 M A 6 C 9 h n Y b 8 / H y Z g o H / 8 f J l v a i C 8 J D G G M 8 J b l w w a h i g 0 W 3 Y u I G G B g e o i u + D a 2 D o Q M N a L H 7 7 m 9 + z 6 n h I C H L k 6 C E Z K A 4 F l A 2 I g 8 Z X X / + K X G l p t H H T e p E Y w F d f f i M q I 9 Y U / P h H H 8 j k P h g X 4 D Q L c 3 9 p W S l 1 9 / T Q Q S 2 x 0 f 9 b V 1 0 l C / s D U G c H u Z z W s v S O B n g R t b 5 p l X s s h L C E 4 v L G y 1 M I B E K J U U I R a s b j p m 1 F Q z S V F v 6 F + E P D 8 a t / / h / / q s R q / I V Z O 6 s Q r B c s J Z k A 7 N K e 7 e i j C S b I v v 1 7 6 M H 9 R 7 L g C o D 7 X u O 3 N X a L Q K N E v w l v e 4 S N m z Z Q d k 6 W N M R k S 3 8 C a h U k F s a Z S k p K W C p c 5 P v u m 2 e Q i A b 4 W l A n i 0 s K u a N f K l v A 3 L p x W w o k 1 H r q j 1 l 9 h Z q H 5 y 4 p K Z I 1 L Q y Z I F H v 3 L r H m j P 6 j l W + 4 Q F 8 1 0 2 b N 9 L 6 D T X i z Y F Z v v A T x L m K V e W y G I w B 1 q 5 4 9 e q 1 E C 8 a Y F 2 M 9 n a 1 L U 7 w 0 I I V r / v m l 4 2 v T r k P p z Q S F Z C G K d 0 7 6 6 U k T z c l Z u b O a y v x E u K 6 D 4 U B T x T y u 5 A n H F p 6 p q m 8 v E w a H x o T p B U a I P 6 n 2 U P W w F w D g E g w S F i B 9 o t G b S R p T n b 2 o h 1 i Y W 3 0 u K d 8 B M f / P X n 6 O J O 1 X q x v k K A w t 2 M q P d T K l u Y W s b A h Y P 8 m Q y Y A E u f n f / U z s f Z h M w J 8 N h g w x Y e z M k L t h K e 4 i 4 k Y C 7 Z u 3 S R r m G M 8 b D K o r I C F a l P q W 6 X U j x z 4 P 9 E 8 G f v 6 g t 8 n m F B W f s V P S E g r 0 2 + p p S c T k J 7 j r x i 8 k U G I w a E h 6 u 7 u p o + 5 z x E O N 1 h a Y E D W C p i o 0 Y 4 n W V L h e d M s b / h Y A Y d a e D l Y i Q E p u b V 2 M 1 2 7 d o O u X b 1 J X / 3 h G + k P o Y / 2 y Y 8 / W p C 8 k B j o / 6 1 i y X P u 3 M W Y y h P u V S W l x b K t T a x A X 2 z 3 n p 3 U 2 d E l J n d Y A M 0 s X Y x P h c f 8 5 7 P m 4 P k H B / B i 8 L e V e A p x K 6 H m H O n f G Z m A w U m 7 O G Z i c c k s l i g Z / B a + d + c B 3 b / 7 I K w v H y Q Q p E C w + R g r + T g c C b K u H 4 C + V 7 S A V M Q Y U 2 P D a + m j t T S 1 z F u 8 B V K r i / t 1 e / f u p l M s r T 7 7 k 0 9 k e j s M H t b V j c I B 5 I S 6 t 4 n 7 e d e u 3 h A j Q z T A w i o V F R W s g t b p n N i A Z 6 u s X E 2 b W b 0 c G h q W v b W A 6 6 9 D P 7 P v H W L q 3 V Q / Y k t T c M 6 G n y X w Q y N u B 3 Z Z Y A i h T F h q D E 3 Y Z O H G x 0 8 b u d G U i e q z a 8 8 O S g / T + Q c g P S A p g g E L H N Q q 6 P j w x 8 M 0 B 0 x l c M 8 b r A w E C H T m 2 / N i c M C G a 7 d v 3 Z E l m K 3 S C d / 9 + b O X s m q s m T o R z g E 3 E r C u H y y F l y 6 p A d t I U E R 0 y Y p L W H M Q 5 F 8 M Q C x 4 U h w 9 G s l Z F 9 9 b f X d / n Q f W P e Z a j 4 5 j 5 V l / W 4 m n 4 P j V P / / P u H S O n b X n S Q W G I t R S E s y Z W y 1 7 Q m W l z o l Z G P 2 j K S Y H J F E w 3 E w W q K F Y 2 M U K e 2 I a n b n T T g m F 2 6 l 7 K o d 6 J t O p d S h J l j L u H n X 4 d r O w A v f 5 5 u s z Y s K G s Q F k w Q I u w e 5 F s B h i 0 N l q u X s X Q D 3 E 4 v x t b R 0 y H B A N O V E W e A 6 o x g t 5 d Y Q D V G G z O A 2 / c 6 i 5 P 7 y x R u p b G y S 8 x j i h w 6 y X + 6 j c J k Z Z w B Y X R K 8 F f J + I 2 z 4 U p i 9 Y i b O U J A o G l g a G X o 8 G i 5 m x X R 3 d o t 4 F I y 0 1 j Z 4 8 U p P j A H g D X G 5 M o l t v 0 i i 7 b I s s / o I G 6 k z 0 q 4 T w T 8 O M 1 m D A w A D X I 6 t F L R R g J E l K V q u 2 h g I a H I w H G M h F 2 g r z Q o J Z H b 5 4 P T 2 9 M k 8 K + b 2 9 v e L H G C 1 g 9 M A Y 0 2 L c m R I t U / e H W N V e G L q e E U m S 2 4 H + 0 b / 8 B 3 / n t 5 l 4 C H E p o R y J L v J 4 X b 4 G 8 X 2 g d d B B G S y l k h 2 z T J p n t K 6 m m p 5 1 O G W p L J h 4 E e r a 3 D T h y K f J u Q x 6 1 u m k l n 6 H v H E j o W f U T q t y Z w O m j l x / 3 E k 7 N q + O O F i K / t q j B 4 + p v K J 0 X n 8 J Z Y M x M j i R Y k D 6 I V + H K S j o z 2 F c 6 s s v v 6 H O 9 k 5 R V f G / E x K d I g 0 x A R L e 7 B i P w n g b S I L x K a x 9 E W q X x v H x S W p q a p L F O 1 1 p L n m O S E M C e C H h J Y D + H 0 z o B v D v C w + m D b 9 I f Z L J m M 2 5 k C G h x H T O U s r L 7 S I 3 w 0 G O R Q x L f N e w X X x c 9 / 2 0 2 B h g S 3 D R x G y R W N 5 U w X J B W 4 j 1 X Z I M I / P d r + 5 S y f o D O u e 7 A Q Y q S 7 N t t K H Y K 7 s m L g T s E A 9 P j D I 9 F m T K A 2 o Y N i / D w C 0 A d R W S C C T D K k l w g 8 L W P O E W d 4 F x 4 t 6 9 + 5 T h S q d k V g W x 4 c G B A / v k R Q Y y I K A O f v + 7 L 8 U 9 a 4 b T D 9 s T K W O q g Y m Z J R M q D f A s q B b 8 L 3 z e u H V Z M c v n z y + w 4 Q C + k x p v m p V 6 w H 3 U r F 0 M S a g B 3 l k Z 5 P W w y p d M J c V L u 5 X Q U s B 2 K Q 4 J l Z F f Q 5 2 9 S + t y F A v w P x f b 8 Y 8 V m A d 0 o m Z h N Q q N + u L F q 7 K 2 B B o W N h h A n i m f n / 7 F n + o r F V T D 9 A o h Y v k e G J B 9 9 P C R j H 3 B D 9 G e 4 J A J l H A o 9 v I 9 Y T 7 H / r t Y R r m 3 t 0 + 8 Q e A K N c Q k R t 8 K t Q J p + r d / / 0 t 1 w y B c a k w M 4 V X u h 5 F C i k i Q R H A 9 Q j t g I i E W M r m F V G k p / D K q U d 4 c 8 Q Q m V H 3 c E c r m q q b R U f W G + i E I 9 X 3 j W L U n o p S C S 8 / F C 5 e 4 Q c 2 K t I B p H q Z o e L d b J c W 7 A v O 5 1 l Z V i U o H Q k L S o B 4 u X b x C J 0 8 d p 3 H u E 8 I f L z F h T s a V 8 F y o D z M x E p 8 J 5 d E x w n 2 n W y 0 L G D T 4 H q L q S Z 1 D Q m l f P i F V s I R y k 4 1 V v 1 0 7 Y l t r 4 / v A 9 / M a j h H M I U E o 4 q w 0 M o 2 N D F B X e y u 1 c T 8 H f R 3 M f n 3 b + l Y H l e 7 s 7 J a G h V V o 0 e e C R R D S C Z M I F 7 M z 4 U K A 4 y + M H F D X Q C Y A c V F x k f S H 0 p K 4 3 9 a t 8 t G X A p F g 9 g e R H j 9 6 E p J M w I J k Y v A r 0 1 e 3 i P E D k i F I v k n r / F k m X T w i L h e 6 B K F W G n H C I S U t Q 0 z l a M i Y x A i L W A o f y 1 L F X B b I 5 9 K Q s a h r V 6 / L z F 3 T t 4 G H R q R p F b E i K 7 e Q b j z t 1 k d E v W O o F G X l G x p S U z 9 q S 0 M v C w 3 S h 8 J C n u U G h j T B 5 J E f n e + / h i O M y l v a T L y E u J R Q 7 x M K k / p F 2 q C x K H U p R x x t M f Y D K 9 z N G 7 e F c H D j + c u f / 9 Q n A W B 2 X 2 o y Y a 7 U 2 f M 3 6 J M j S o V s 7 n d Q Q 7 e S L J B a k U z 8 w c 0 J b T 4 a M j E 9 1 K 8 m j f y Y N A f + I 9 f I X 8 t 1 8 Q g 7 J m / F 2 8 / 7 h J 5 x Z R U D q T C T 2 B g R s K b e n 3 z + K a 2 p X E O T U / O d W q F + L e T V E S v Q V 7 1 4 / h J 9 9 q P D 3 D 9 T p v y i D K 8 s a I m + 2 u j I a E Q C O 4 I M I N F u I S o k M T + a L D 7 S I N b 5 k r Y E a 5 u J l 5 + 4 7 k M Z S G G u U N i T s q m 4 W H m L Y 3 k u 6 8 6 H 8 A 5 P T U m S 6 e f B g B U u 0 T K A / K 7 A L N 2 1 6 9 Z S u k U K Y Z z t L J P i y x v t M t U j E q x j W F i b P C p Y 6 1 a S f s L g n I r 8 e Z J v C B a H i M s + V L r F e T p e C 2 6 p g B W C w l m 2 M U D b 3 N w q Y 0 t W Q J q 0 t 7 W z x F g 6 C T U 0 N C R z q X B v h A n P H L 3 p x 2 Y D n B 7 s p F f 9 k a e j q P 4 e y W A 4 r I G R I A Q B i 1 D H S O s g x z 5 i S Y d a p 6 3 5 n A 5 q N / E Q 4 l J C r S v w i y j 0 K x B W I r A D / U K A N Q 8 O u 6 M j / n U g o B 7 C U R W 7 1 S / G r y 4 c o E J i P O k P X 3 x F X 3 7 x N f 3 v X 3 9 J r Q + / p D f 3 f 0 c 2 7 y T l O b p 0 g w 6 P r O w s G h m b k n 2 j o o U h h z / 4 h 0 n m B + U x I Q F E i 0 P w N w + i W B y E n N T 4 L K y l B v a V D Q X j o A v A m p d k m e + E / Y D L y k t k A u J S v W j G J y Z k s i L 6 Z O k Z G X T i w w + p b M e f 0 e q d 3 I f b / T n 9 7 M 8 / E X / A c 2 c v i k d E O O C Z v r j R o Y + i w z z C m L T x 5 d T H J j Y B x 6 H a z g 8 d R O u N t w B s D 7 H 6 6 E r D 5 L S N m v v 8 p M J A K b a M + d 1 v v 6 C z 3 5 6 X l W q b X z d z P 0 p 5 V k O K Y E G Y 4 k V s r b M Q M L t 2 3 / 6 9 0 i + b 5 m d I s H t 9 9 Y A B 5 6 l Z h y z g s v / g X l n j o r W 1 T d R C K 7 C C 0 e W m d M o r i 9 z X C g Z T x E 8 S T R j 8 + N J C N E M 2 f z q 4 3 c R D i M 8 N 1 7 g w 8 1 3 e g I X 9 V y o a e x O k 8 w / A 0 o d l m U 9 9 c E I W g s F g a k F R o W + B l l l u x P D N w z J l S w m 8 6 0 F g a a Q 2 O z k T E q i m c E Y W / o c X B + o C w A I w W P 0 I X h S 4 3 r o U w O V X q v + E z 0 c P / G f w x i K Z D G n 4 u 8 J z Q q V V P i c C r g n Z d n 7 g E J d 9 K B Q Y 1 B n E p V m B I + I r s T + l p o 8 o Z 1 X 3 t E e W + M K c K 6 w A i / 1 5 D S A V l m J 7 0 W B g h a P q 6 i p Z A g 0 k w f + p y J m l z J T 5 q j f K v 5 i J v m v v T j X 4 r B G N 1 z 3 g J 0 R w C C a V k l D w I f Q R j I O 6 z i 9 B 4 w 1 x S S j M h V L x L G 0 q X r j j v l J w u d 5 O Z y / e o 5 0 7 t 4 V c I w J z l 2 5 c v + V b v G U p M T d n o 0 n 3 t C y s e f T 4 Y Z + X e I i Z H D 5 g y Y C 6 l 3 W y B o f Z z i Z q a L I Y I l n T K q i 0 S C g h k S E W n H 4 5 5 j y y b H Y d T 4 j L g d 1 J j 5 p L k 5 C g 3 s a 7 V w X u l r c S 4 e D v m r n + Y 0 p N z 6 f m p h a 6 e / e + m M u x x S a m V W A F o e P H j 4 j l b 6 m R n J R I j 5 8 2 0 M b N G 4 Q o 0 Q A W x v 0 H 9 t H E x B S d f T y m c 6 M D q M C 0 8 B H L L 3 l A F k U Y R S p D P H P e f 1 1 2 V p q l x c T P T 1 x K q J 4 h f w V J 4 a X G 5 9 t o q W G 3 O + j M w y H q 7 x + U Q V 6 s 6 H r 4 2 C E a G R q R z d M i T U Z c L D B P K S m 7 g k p L Y j N 2 w K s j u 2 g 1 r S u P f X V c Q x j R R j h G U H m G T B z z O d W P 4 m O Q T A c Q M C d n 6 c b g l h J x a Z Q Y m V Q S y f S j x s f G q C S 5 T / J W O h K S 0 2 V B k 4 z M D O n b Y L Y r l n j G w v 1 w A c I U C Z j S l x J O B 5 c z Y c 0 G n R E D H r 5 N p M 4 Q U / z D A y 9 H Q y C Q R a l 2 R k o F G i L 8 B B L y y X W Y x T 1 L 2 S B U i L b z Q 4 e 4 l F D j b r X 1 J z A 5 M U 5 J 3 K h q K u J v d u Z 3 g e S U N E q u / E A 2 1 X 7 1 q k n W V + / o 7 B I i Y d 0 I S K 2 B w U F 9 9 d I A Z e 2 d G l 8 U U S P N 4 w K U x D F B H a v + k T W f A 4 j j y w O J F J F 8 p E L Q J H O 5 v h t p / a 5 g Q o W g 2 Q 8 c 0 E l G Q U J C u d I z R L W w x W k n 9 L u A M y W T t m 7 f Q V u 2 b K K N G 9 d T 9 b o q W r N 6 F V V W r p H 5 R z 3 d v f p K B Z A N C 6 j U 1 z W I T x 7 M 7 7 E A 5 X v 8 1 F H 6 9 9 / d 8 L 3 I o s X + y l j 7 t 4 Y 8 F u I Y a e Q 7 9 h N I S S S V V k F d o 8 z z o d v P D x n i c m A X A c A g o 8 e N R S Q d A a J 0 J Z r O r e B 2 R Q N h N i r D 9 A 5 s X A D i G N T V 1 V N R S R G l M d k a G h p k u x 2 r S T s a V J e l U 1 J a L n X 3 j 8 m m 0 g t N V b c i G p 8 9 H w y R Q A w m h a 9 / J I T R M R + b f C G V L 1 b X C 8 H 4 2 L S T e A v x O b A r w c Y F O E c e S l E F K p n v D 5 6 H 2 N g Z g D T Z u X u H r O n 3 n 7 / + L f 2 / / / w v G h 8 d k + W h s Q / v 9 u 3 b + C p M X Y 9 e m 4 d X O 3 b g 2 F R G d O H S L d k n 9 3 6 r k 7 q j 8 M k b n o y 2 X g x R F E n 8 R D J 5 f q m k g p J M h k C I 1 f l Z S k r k P l t A W 4 m f E H 2 p f 8 / o H 5 k U R 9 D 0 5 D l p R F N R v j F X C m A g w O q 2 o Q C P h c / / 7 C f 0 p x w + / 9 P P 6 O T p E 1 J G A K R 3 Y W G + N L 5 o 4 O F + 0 3 9 9 c Z E c d o f s 0 J G X 4 a A 7 d + 5 R b d E Q E y v y N P P S r A j / h 4 m j I k M i I 4 k 0 c X S s y G L 6 V n z M 1 x m C K c m E t C J Z Y V H 8 b l 7 N t W C h V x y F 5 r 5 x c i Y 4 f e r d g 7 d L 7 y E Q z 8 A i K F j N N h w w m Q 8 k M s E K D M w G 5 4 X D V 5 c b 6 I P T R 2 S W c G p K C n 3 4 4 U n C d q I t z W / o i 9 / / g Z p e N 4 l D b j h E 0 r 7 x D X x E A j l A D B + Z k O e X X H 4 y I V a S S f I l r Q L S G z Z i c D u w v c R L i F s J B Z g 3 E 0 g l j x u p 9 l Y Q o u 3 D h A L M 7 N g 0 L h r k J Q 0 L e a 3 I z M i Q v b B 2 7 t p B t q R 0 e t w V u H l B M J J p l K b d w d v W C J U k B B B I 6 t R C M D n n P 7 Y G q X / W U i S N I A t e Y s 2 / + G 2 2 c b 0 L P F Y 0 V Z U w J + u P W / E + k O u N d p q N F Z l Z W d T f 5 5 c q K L 9 w k O k h e m J g M L A L y U B 3 G / V 2 N O u c Q O C + f X 1 9 l O G u o 4 Q Q s 4 f x b 5 U R A n X I Z L A E I Q j S I I 8 + 9 u X r c 2 p J M R w r y S S S i v O D 2 0 k 8 h b i W U F g a G P 0 o Y N w T 1 4 / 6 n a C + Z 3 F L D a O h j 4 1 N y C p J l y 5 d l d V l 4 f S K g e F g w O R u l g s L B p Z e x k 6 H S a 4 8 2 d 8 J y z 1 j D A y u U P f u 3 q c / / P 5 r b u R z l L d 6 O z c m b k 1 W g E z 8 H E I a B L 5 O S C M E Q 6 y D J p G S Q o o w k g d p 5 E v 7 C Z W f F 9 / j k d x K U R D x G Z 5 1 j k p D Q M W k L d 3 y C S s e K c n J t K V 2 E + 3 a v V O 2 3 8 F m A 4 8 f P 6 X L l 6 5 Q S 8 s b a u / o E J J h P f O a m m r 5 T K h B 3 R E m k H f O Q e 1 P z s q q s t h F Y 9 o z L b V T u 7 2 W f v z Z x 7 L z u 3 Z s s Q B E C p R K I N b a P G x d y s e a S E I 4 H 7 G s q p 3 p L x k y 8 X m d t 3 e / s m L G a 4 j r 1 z 6 X N 2 G l V M w S 3 V q i 5 k Z Z 3 4 T v U 5 8 q F q B c o K 7 B b Q k N s r i 4 U D Z r + + j j D 2 S a O h x b M a e q r 7 e f 8 g r y Z O 1 y L F J p B R o 7 x r L 6 B s a o b P 1 e W r + + W q Z t w B 0 K c 7 I w Z 8 q U f / t Q o C T 1 q X g g g k 8 y e a k k g 9 V L B x M E B A N Z I J E k t g Z 9 H k F L J h A J C 1 v G e / 8 J i N u B X R P U T g 9 O S n X G 5 0 q h 3 x V S n X N 0 a v 3 i J l j C P a m D p R A 2 v 8 b U d s y v A t B X w n h V Q X 4 + 1 W 7 b S t n Y 5 O 3 m H X G 8 h e + g F V i 7 f P O W j V R S 4 O L G v X D Z e y y n j T R S U s e E O a r M h W R T i 7 9 Y C S d k 4 / s b Q i k S + s m E g A U 0 I a H S X c n z 2 k e 8 h T g e 2 F W h o d 8 t / S g U N p c 8 Z w Z i p U q p f Z W e B e c j L Y T W N 6 2 U n J I i u 8 L D W o c V Z o O B c o M 1 r 2 p d p W y D a l 3 S G Q S 4 c e O W 9 K 3 Q R x o d 7 J V + U y T g c 7 4 + E q e t J C n L 0 j u p S J 4 m k J D N k M m o e R y Y Q L 5 j H 7 F m 6 O i J 3 Q F t I x 5 D X P e h T I D a B 1 I V p i s f t Z W u 6 i W z d M K u H I s F D B K Y 8 Z v B h M H e u g u p S d h g 7 v S H J 2 W w G I B 6 f f H C F c p h 1 f D K 5 e v 0 8 O E j + v R k L T 2 8 / 0 g 2 B g g F h w 0 S R x F J k Q R k U u o c / 6 H D V Z N 8 7 C X 3 t F b / L N L J B P 8 x y K P S 8 i I F u T g G u d T + W P P b R z y F + F Z I N a Z m 5 q R w V 2 e O S M G j Q l Y y s k J M P Y 8 F I E U 4 y 1 0 4 t L a 2 y n 6 / r x q b 6 P i J I 3 T k 6 G E 6 c G g f q 1 k u S k 6 Y p Y p V 5 R R q M z Z g R p Q H J o G F K C C V 3 e a l A 2 u m y K b P N X Z j Z 0 p 1 X q 7 x x Y Z E l l h L K U O q r K z F 7 6 z / f W J Z E K p j H I T i g p 6 F 2 s B v K 6 4 s K 1 a a x K r K f 7 f + I j b O D t 7 s L B w w 1 o f + 0 o t n L 2 n v w c N U s G Y r 1 X c 7 Z c P t 7 K w s a n 3 b J h M b M Y s 4 e B 1 A V M P Z l 4 m K T B a C F K V P 0 / a y K T p U O c X S C 3 k s m b j + O o d t Q h 7 z U p S 6 B H n w O R A H a Y 7 R Z 5 L j G Z C K + 0 8 c T p 4 + q P 9 r f C O u B 3 a t A V 7 n T m c i C 9 X 5 h F p J S E / y U g q r f O + C G Y i M K I C 3 / z 3 u P 9 l Y 8 q x e s 5 o u n L t A L + 9 f p P z E H r L P q X 2 f Z t z T 9 P V X Z 2 j v v j 3 6 U w o 4 d / 2 1 U 7 3 o N J k M U d Y X e i g j S R O F S Y L / 8 7 z D r g i j i a Q I p D 7 r J 5 N J K 3 U P m 1 R D O o F Q 8 K Q K 1 S 7 i L e A x u X j i P / R M J 8 k 8 n / x U j x Q 6 3 m x W r B Q p N e H B 3 C 9 9 s F h w Y 7 c u 8 R U K T 5 s G 6 X / 9 5 z X K r d h K e b m 5 s n b 5 5 3 / y E e 3 d u 4 d f X h 7 q 7 + 8 X f 8 B j J 4 + Q K z 3 N t + s H i P S s w 0 F n W D K N T b H k Y Y I Y M i G 9 p V j t l C 9 B y K N C 9 w h / l m O 5 T o K W T o Z M E p S a Z y Q T z k F a H T + 5 n / 9 z Y H u I 1 2 C 7 W f 9 m 2 b z u i x K n Z E H F e x 3 Z 3 E e A A 6 h y 4 z d r w a 0 E y e U e b K L y l D 7 Z W g Y v k E 2 b N 8 i M Z X G L 8 2 F O D u E g i 2 1 v g j E 6 N i a L u u w / s F f 6 U i g X j B u Z z a P 7 B w b p / M 1 X 9 N M f 7 Q 5 J X o w / Y T U j T G j E Z x H w w p q a t t G V V 4 k o a E 0 k n F M E Q Q y y H K y c F D X P S C 4 Q x D P t p a u N s B j y c V D f C I Q R a T T j 3 0 t 3 d s Y j u x V O s + r q n X X T z / / q U / 1 k 8 Y 9 l R a h 0 x w w 5 P K P 0 o L u A G 4 q T 7 N x Y U N E 2 J p a R U M u d V B i r O V n j l u + D B g j X I E U f P 8 x 3 n e C G f + P G b S o s y J e F / m 1 M M F j 3 R k Z G q K W l l a Y m J 2 n X r h 3 U 1 N Q s 0 + l r a 7 d w 5 z 6 T u k Y d d H C 7 f 7 2 / Y H R 3 9 1 C a K 0 0 s f 6 Y 8 4 a y L P X I V w R R 5 k L a S C e k j V Z N c C X 5 C g S y X G x J k Y N a v 2 i n J g z g l w U P D 4 + o Y m 2 I r U j G h m E z Y + n N d V R n t 2 r N V n m E 5 w H a z Y f k Q C r A N 9 1 P j c B 6 T y U k O m a b A Z N K E Q l j u h A K O V H n E d B 4 K b Y N 2 K s v 2 9 5 F M o 5 Z + y r O X L H 0 G q H L t G h n A f f m i j i q r V L q n p 1 d c k O B B E W m T g T P f n K M P P j o l a d y / c 9 h O T z s S J C 1 B S I T / q / q z h k w g 1 l E m l F U 6 j U 1 5 6 X Y z S y c L m Y R Q R q W D R A K Z t I R C w E z t m W m W T k y o X / z y M 3 m O 5 Q L u j i 6 v n 6 z M V F U x X C H y l k O l c u D a l M o 1 b + / l D F G r Q g B L N g 9 M B B p m 8 X 2 h 1 m G M B u u i n z x 5 T F a b R Z / n 4 K H 9 V F x U J F Y 6 r I d + i 6 V Z J C i i M E E 1 a V 7 1 O u h p O 5 N J D 9 g q o i i y C L F M m s k E g 5 F V M i F 9 R 5 P J / 1 l F L N S Z q T 8 j r R B A L L H m c l 5 B f p a v 3 p f L z 7 I w m 1 s x R K n E p e 2 r A F M p q p J U I 1 g J u N U 8 X 4 q s z p 2 l r W H 2 t w U w / h T u h Q L f v R M n j 9 O X f / h 2 3 n 5 T B i g 7 9 J 8 K i g r E / O u e J n r N h B L j A g L K V 8 p Y E 0 n y U P Y q P r h G L e M s / S O O x 9 1 a J d T n p c 5 0 W l 3 D M X e K V V 1 i t 3 c t t Y R g 0 3 T 6 4 6 P 6 y Z Y P l h 2 h g A 2 l X C n 6 L R a K V C s B I 1 N 2 m v D E J m 0 j S W d s O v D x J x / Q 5 U t X d c 5 8 X L 1 8 T f p a I J f T Y c h j 1 D w r g Q x R V P 7 m I m P d 8 5 + / 0 6 x N 5 b 5 8 D l J f K v a C T B Z r 3 i z X K Y K X p V R 1 d f g + X j w j 7 n 3 5 Q g V v c j J X I i p B 6 d 9 S I W J q 9 V f 0 S s D d N 7 F N + w 8 3 U d C K J F Y N N 2 3 Z S G 9 b 2 2 R Q 1 w r 0 s / Y e U O N N R v W T E M p 5 1 U I c j B 9 l p W h r n V b 5 + k Z V H 0 v G l j R p J C D N + U I g U d t Z z U M 9 c v 1 J H l Q + z t 9 7 c H v I u o / 3 E P f e 5 u H C h r W p 4 o F s T K + q 8 h D r N I f l D n g r w B g Q C f C x w 6 p F R c W F O m d h V K 2 t p K z s T P r 1 / / 0 N X b t 6 g x 4 9 f E K v X z d J 4 4 b D r J V M c B t S J N L 9 I C 2 l l L R S + S C c r + / E x 7 j P 0 3 a b h U z q n K o j X U 8 S 4 0 U I i W Q h E 4 e f / f z H I e t 8 O Y R l M 7 A b H O B X Z r f p y j E V 4 g u m 4 p S x g v 9 w W J 7 A M s e e W X z n 8 H j y + I l 4 l O / c t V P n L I y 3 b 9 u k H / X z X / y F j F V h r K u p q Y X y 8 / N 0 w / c b F W Z Q j j p P i B R 0 j N g h x g h / C C A T n 1 e S S J H I 1 I 8 E E M j U G a c R 4 M e b L L u P z K / z 5 R C W Z R / K Y G M 1 v 0 2 1 2 q c q x x A J F Y n K 5 k p D I 2 B S m b A c w W 1 z Q Y w M j 8 o s 3 a S k h X d e x / f H l j g Y 4 C 0 r K + U c / w q 9 a W l p s o O i E E B L l L 4 x / g z H I p 2 0 R F I D u h x z O Y t 0 4 u B K 1 M T h v J Y + G / W L u g c C I U 8 R S e r C p F F f U m + a Y J p M q M u / / t W f q Y d d p l j W h A J K i 7 E Q p n n T a X J Z g i E Z G g T / 4 U 8 s P 1 L h 3 b c Q Y N 2 L Z t m w F y / q a P u O W p F E C q o s Q K q y s h I a H R 0 T Y i B M u O f o Q S u M C p p I Q g q d F i L 5 0 + g v 3 W u x 0 5 V G B 7 3 p U / t 6 G R K Z W F n w U C f W t P G M g K r n o Q O H d s n z L G c s S 6 O E N e T m J L G e j 0 o y k k p V m k g p H R S x O M h b d v l J q r a h h c n i 8 U w v u N A / y u P S p S t U W l p C i Y l J X A a G D C r g P L w q U l N T q W u Y 6 F x d A l 1 9 h f E j R R g V d F o T x J / m f I 5 H p / z 3 k s D n z Q s t k E y W e t J k g m e E w 2 G j 6 g 2 V I e t 4 O Y V l N 7 A b 6 m f b 5 j x R P + R N x 2 8 9 B F / F m k r l I K Q y j Y G D q D P L g F x t Q w v P b U K f 4 / r 1 m / q I q K H h l a w T g b 4 S 1 k D H 7 u 2 7 d + / k f l a a f q n 4 A y Z v Y r / c p 0 9 f U P O A k x 6 / Z a n E Z a X K R h N G g l H x O C 3 n d T m i X H V e Q P n K s S l / J g / n + T U I R S I h 1 D S c n a f p l 3 / 3 U 0 u N L t + f Z a / y G W z d m M s 6 u H n r q d j 3 V k S l + i p Z p Y 3 F C q q g C k w s E + J M L Z y J Y J T A o O 3 U p F u e u q u r m 9 q Y S J 9 + 9 i N Z T A W S C x t N w 5 P C z E s y J E H Z w L v i 0 J E D L C H s 9 L K u S Z W T P o 9 r p f 8 k x y r f R y o 5 j 7 Q O U r Y m g E Q W M i F t 6 g X H 4 r M H 3 z 0 m F Z P p F 3 / 9 u f o i K w A r h l B O p 5 1 y s 7 j R o M L k 7 a f 9 w 6 R C k a d j V L i k d e X r x i G k 4 v t I i C 8 + M f G J J s M M 8 u J F g G n u 0 9 w 4 M S g L 4 h w 7 f k S + E 3 Z r F 6 k E I k n A 9 0 V D V w H X Z O d k U 3 1 9 I + 3 d v 5 e c W a s k T x F E v 4 T k e q R B I F 1 u v j x c p 9 I i g X S + u r 8 p e 5 0 2 5 Q / H V 0 g o k I n r p 2 Z 9 J a W m x e d e T 4 u B 7 c 7 r t j h r P u + G e w 8 6 u A F y 1 9 D u I H u C U 5 x n 4 e t m n G j R e Y d X t t 2 m Y k z 9 w A Q 7 i W 2 I V Y B C r O L 4 g C t p j g 5 U q k l / g I k h g b D W 3 r p 1 V U q u c j 7 O L R T U C 0 T d w 0 j n Z + 0 O 6 h 6 B 1 Y + J g z z d 1 x Q J 5 f u M f v l o 0 s m x J q Y K R j I p 0 q m X m y Y S A p N I B n E R c 0 j g f t O v / u F n 8 j 1 W C p h Q 7 S u K U M D t u 2 / 5 m z G B m E h q 3 h Q H H 6 m w u D 6 8 0 x E z a S Q d T C i V Z k 6 J X o x f n e J I / v 4 g S L F P 0 d S b C / J S O H z k I D d o o s 7 O T p F K W H B S E Q R X M g G Q k G N / m J p y 0 7 N n z 6 m / b 4 C O H j s k 9 8 F 1 9 9 8 k 0 P A E L l e k 8 R M I h N I k E p L 5 0 0 I Y O V Y q o Z V E i m T G 0 V V L L S u Z W E r Z + R n / 7 p 9 + I d 9 r J c F 2 d w U S C u r N r b u t r N C C R A l C K p A L R F J B k 0 o k F B N F Y p W G 5 A J p D L k k r U m l Y k U o 9 Z c h C d 9 R A H y n U M I L X B c J a N h C E v 5 e 5 V n T V J X n l n l S k K x Y R A W E k s a v L l b p o N D X P 0 B P H j 6 h o 8 c P 0 9 N n L 8 Q j H e N W l + q d Q i p 1 H Q i i Y p B E H S P m P E M e n S f 5 h l S a Q C C O I p U m E Y 5 9 q j f U P B C K + 3 o s y f 7 u H 3 8 e 9 b o X y w k r k l D A 7 C x I 9 U a T i k O A p F J b w I g K C C I Z Q o V Q / Y R U T I R g c g G S V g n z x + Q o B B w s A K 6 B 8 J W g T n K T 9 s U n q z E B E Q 0 f Q V 1 j i I N j f 5 o D f p g k Q 0 N D s l + v 3 W G n 1 a t X y d w o k E l d B 3 L o m I / N 4 K 2 k J d Z k E h I Z Q m k y a Q L 5 Y k 0 k k V g c m 3 E m 1 W d i l X U F k w m w 3 W 1 a m Y Q C e n p G q b 6 x V x F H y I Q A M r H E 0 q Q y 6 p + f T C Z t A h + D G b 5 j 3 F m l B c h T C f l V K Z 2 I A D T 2 A H A D t k J x R e W h c U v M P 6 u y Z 6 g q f 0 Z O y T 0 4 o Y i B o P K E I P q c k j p Y O W q G H 5 e V L S b I t d d O m p 5 R 1 y l r J 6 7 x E 0 m I o 4 8 N q V Q a 5 F F 5 8 8 j E s V j z L G S C S V z N x A W Z Z u n 0 h 0 d p T V W 5 f J e V C C Z U h 6 q p F Y q e n h G q a + h m k k B C G U m F W P e n h E B K a g l h j L Q S 8 p i g 1 U D c U O c J b V S G L x a Y 6 3 z g o 8 A M P 9 D 6 L V B H w g i d M m k 0 d h X L X z 6 o L Z 2 m 3 D R l M M A 5 x O q 6 0 E H U O i Y P l v K q 6 1 L r T H C G V v f 8 J P I R x x x L O p h M S l o J g Z g 4 Z g B Y h i p 0 n j G T K 9 M 4 k 4 n z T n 1 0 j N Z W r Z L v s F K x 4 g k F t L c N 0 K s m S C q l 8 p l Y i A U C + S Q V y K G O k Q 7 u T w m R E A t J 9 D F D H U u S g X y d 9 G c G A t n z S l 1 l o J 3 7 T n L E z V q n d U r i O S r L m q V 1 + d j N Q j I 5 t g Z c F p g H I l x p T F T k U B f 4 0 k I c u c 5 K I O Q z g X x k U k H 1 m x S x F J n 0 M U g U o O a B V M o 0 D j X v 8 N F 9 t H F L D R 5 2 R c N 2 7 z 0 g F N D V N U w v 6 j u 4 s f u l l E g m T S w Q y Z B L y M Q x H 0 j a G h R h r G n c n f / I r 4 p 1 y g 9 1 U W i g c W v 4 U j q P m 7 Q v U 6 V 1 P s e 7 V n n I l Q g i q G O 5 g m M V V B 5 C f Z e d h i a J J t z K J O 6 / R q d B E n 0 s h N H 5 I I n p V w l p 5 D w I w + c 5 x p i T X 8 2 D M U I R S q Q U B 9 N 3 4 o v p 9 E d H W D I t z w m D s c J 2 r / n 9 I B Q A L + p L l 1 8 K k R S Z t P o n x 3 7 1 D 3 0 o v 7 E C p F E x i C H H Q h y k c V e V J y k d I 0 / / q n R U 4 M a r I v N H J 3 V a x z j G j y v J y x J q R h b G b B 2 w 0 1 s O 2 A V D k Q P X q t g f l H O w S S u y G C m F Y 0 U k I 4 2 E S I j l W F n 3 Q B g c i 2 Q C o R C w 7 r w Z f 9 I k U m R S m x 3 8 / T / / F S U k L G 4 n x u U I J l S n r q n 3 A y D V x Y v P L N Y / T S 4 d / M T S Z J L Y E A s s U T F + A t O 4 u 6 Q k 3 0 A + E x X Q w H U S Q O N W C f 2 r T w o h J M E x E u r Y n 9 b 5 O l Z B k 8 W S 5 j + a O D o v m E T W t C a P I p M m E m J R 8 y x k g g G C Y x g i s G b g 3 / 7 j L 8 R b 4 3 3 C e 0 c o g 7 N n H 3 L z M 5 I q i F A 6 N k Q y B g v O l N g E I Z C k c U e c D y S U 7 6 9 K R I b U B D d w O W C g 4 S N C j v y q W F J C C p V n C B K Q t g T / s Z V A V u m k 8 o x k U i Q y h N I E w r E h E 4 d g N c 8 Y I q D u w b f w v / 3 L X 8 u z v 2 + w 3 X 9 P C Q W c v / B I T M e m X + U n E 8 i l C a X J Z E i F P P 7 D H E E a Z F E x f h R x c K x i + W t J R w N u 2 v i j g Y a u Y v W L P / J X x z r f l + a / O l j T f i J Z 0 4 o 4 S A c T S W I + N p J I J J M v z Q Q y U k m T S M X K L I 6 N 2 / 7 m V 3 + O J 3 w v Y b v f 8 v 4 S C n j x 4 g 2 1 t K i x q m D V T w g G F 6 Y w Y 1 S K P D q N G M S R X x X r l I J c H w X Q 2 H U S a Y m E L P 5 Y U u a c k A P 5 O G t J B w R F H A m G P J a 0 I Z S M V 4 E 4 J k 8 k E t I g k C K Y I p N S 9 S Q N Q n G A G 9 f 2 n V t p 3 8 E d 8 l z v K 5 h Q X a p m 3 m O g c X 3 1 F R a B 9 J N K X J W 0 h P J J K 5 D G m j Z E Q h A S I Y 0 7 4 o 8 1 r S K d Y v h T f n B j 1 i m V 0 M f 8 b C o y Z z k f a f k 1 a R 3 r 4 + D A L J F Y E Q d 5 O h a y K D J Z 0 0 o y 6 d g E L Z F E 7 R M y g U h q Z w y 4 P k H F k / J 4 z / F H Q l l w / d o T G h g c F 1 L 5 i C V S C s T i N A i j j x V 5 / M S S x o Q Y N 5 I Y x 3 J g I v M n A o Q p + A 2 R Z h J I U h O F j x D 5 0 / 6 A E z 7 i I F j I 5 C M W i K L P g T T m n F / N M 5 L J S i S / Z I J U K i s v o U 8 / / x B P 9 U c Q 0 f 8 H C d f R N G 7 2 L 2 4 A A A A A S U V O R K 5 C Y I I = < / I m a g e > < / F r a m e > < L a y e r s C o n t e n t > & l t ; ? x m l   v e r s i o n = " 1 . 0 "   e n c o d i n g = " u t f - 1 6 " ? & g t ; & l t ; S e r i a l i z e d L a y e r M a n a g e r   x m l n s : x s d = " h t t p : / / w w w . w 3 . o r g / 2 0 0 1 / X M L S c h e m a "   x m l n s : x s i = " h t t p : / / w w w . w 3 . o r g / 2 0 0 1 / X M L S c h e m a - i n s t a n c e "   P l a y F r o m I s N u l l = " t r u e "   P l a y F r o m T i c k s = " 0 "   P l a y T o I s N u l l = " t r u e "   P l a y T o T i c k s = " 0 "   D a t a S c a l e = " N a N "   D i m n S c a l e = " N a N "   x m l n s = " h t t p : / / m i c r o s o f t . d a t a . v i s u a l i z a t i o n . g e o 3 d / 1 . 0 " & g t ; & l t ; L a y e r D e f i n i t i o n s & g t ; & l t ; L a y e r D e f i n i t i o n   N a m e = " L a a g   1 "   G u i d = " 0 1 c e 0 8 8 c - e c 8 9 - 4 f b 5 - 9 2 5 0 - 2 e e d 8 1 e 7 4 a a 8 "   R e v = " 1 "   R e v G u i d = " 2 c 3 e 4 c 1 c - e 5 e 3 - 4 4 7 b - a 9 a 8 - 0 b 5 e 4 9 8 d 3 c 7 6 "   V i s i b l e = " t r u e "   I n s t O n l y = " f a l s e " & g t ; & l t ; G e o V i s   V i s i b l e = " t r u e "   L a y e r C o l o r S e t = " f a l s e "   R e g i o n S h a d i n g M o d e S e t = " f a l s e "   R e g i o n S h a d i n g M o d e = " G l o b a l "   T T T e m p l a t e = " B a s i c "   V i s u a l T y p e = " P o i n t M a r k e r C h a r t "   N u l l s = " f a l s e "   Z e r o s = " t r u e "   N e g a t i v e s = " t r u e "   H e a t M a p B l e n d M o d e = " A d d "   V i s u a l S h a p e = " I n v e r t e d P y r a m i d "   L a y e r S h a p e S e t = " f a l s e "   L a y e r S h a p e = " I n v e r t e d P y r a m i d "   H i d d e n M e a s u r e = " f a l s 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  / & g t ; & l t ; G e o F i e l d W e l l D e f i n i t i o n   T i m e C h u n k = " N o n e "   A c c u m u l a t e = " f a l s e "   D e c a y = " N o n e "   D e c a y T i m e I s N u l l = " t r u e "   D e c a y T i m e T i c k s = " 0 "   V M T i m e A c c u m u l a t e = " f a l s e "   V M T i m e P e r s i s t = " f a l s e "   U s e r N o t M a p B y = " t r u e "   S e l T i m e S t g = " N o n e "   C h o o s i n g G e o F i e l d s = " f a l s e " & g t ; & l t ; M e a s u r e s   / & g t ; & l t ; M e a s u r e A F s   / & g t ; & l t ; C o l o r A F & g t ; N o n e & l t ; / C o l o r A F & g t ; & l t ; C h o s e n F i e l d s   / & g t ; & l t ; C h u n k B y & g t ; N o n e & l t ; / C h u n k B y & g t ; & l t ; C h o s e n G e o M a p p i n g s   / & g t ; & l t ; F i l t e r & g t ; & l t ; F C s   / & g t ; & l t ; / F i l t e r & g t ; & l t ; / G e o F i e l d W e l l D e f i n i t i o n & g t ; & l t ; P r o p e r t i e s 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  / & g t ; & l t ; / S e r i a l i z e d L a y e r M a n a g e r & g t ; < / L a y e r s C o n t e n t > < / S c e n e > < / S c e n e s > < / T o u r > 
</file>

<file path=customXml/itemProps1.xml><?xml version="1.0" encoding="utf-8"?>
<ds:datastoreItem xmlns:ds="http://schemas.openxmlformats.org/officeDocument/2006/customXml" ds:itemID="{3E3BFD92-C8C3-48B4-ACCC-C5AFDC8683AB}">
  <ds:schemaRefs>
    <ds:schemaRef ds:uri="http://www.w3.org/2001/XMLSchema"/>
    <ds:schemaRef ds:uri="http://microsoft.data.visualization.Client.Excel/1.0"/>
  </ds:schemaRefs>
</ds:datastoreItem>
</file>

<file path=customXml/itemProps2.xml><?xml version="1.0" encoding="utf-8"?>
<ds:datastoreItem xmlns:ds="http://schemas.openxmlformats.org/officeDocument/2006/customXml" ds:itemID="{7E8A09D3-CCDC-4157-B4B1-1FC9E65346EC}">
  <ds:schemaRefs>
    <ds:schemaRef ds:uri="http://www.w3.org/2001/XMLSchema"/>
    <ds:schemaRef ds:uri="http://microsoft.data.visualization.engine.tours/1.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vt:i4>
      </vt:variant>
      <vt:variant>
        <vt:lpstr>Benoemde bereiken</vt:lpstr>
      </vt:variant>
      <vt:variant>
        <vt:i4>9</vt:i4>
      </vt:variant>
    </vt:vector>
  </HeadingPairs>
  <TitlesOfParts>
    <vt:vector size="11" baseType="lpstr">
      <vt:lpstr>toolbox</vt:lpstr>
      <vt:lpstr>tabellen</vt:lpstr>
      <vt:lpstr>toolbox!Afdrukbereik</vt:lpstr>
      <vt:lpstr>bodembewerking__machine</vt:lpstr>
      <vt:lpstr>C_arm_organisch_materiaal</vt:lpstr>
      <vt:lpstr>C_rijk_organisch_materiaal</vt:lpstr>
      <vt:lpstr>groenbedekker</vt:lpstr>
      <vt:lpstr>groenbedekkers</vt:lpstr>
      <vt:lpstr>tabellen!grondsoort</vt:lpstr>
      <vt:lpstr>kalksoorten</vt:lpstr>
      <vt:lpstr>teelt</vt:lpstr>
    </vt:vector>
  </TitlesOfParts>
  <Company>Provincie Antwerpen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SCHELLEKENS An</dc:creator>
  <cp:lastModifiedBy>SCHELLEKENS An</cp:lastModifiedBy>
  <cp:lastPrinted>2019-08-08T07:39:46Z</cp:lastPrinted>
  <dcterms:created xsi:type="dcterms:W3CDTF">2018-04-05T15:50:46Z</dcterms:created>
  <dcterms:modified xsi:type="dcterms:W3CDTF">2019-08-08T07:58:24Z</dcterms:modified>
</cp:coreProperties>
</file>